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FinanceOffice\Payroll\Website forms\"/>
    </mc:Choice>
  </mc:AlternateContent>
  <bookViews>
    <workbookView showSheetTabs="0" xWindow="480" yWindow="75" windowWidth="15480" windowHeight="11640"/>
  </bookViews>
  <sheets>
    <sheet name="Planner" sheetId="1" r:id="rId1"/>
    <sheet name="Calculations" sheetId="3" r:id="rId2"/>
    <sheet name="Lookups" sheetId="2" r:id="rId3"/>
  </sheets>
  <definedNames>
    <definedName name="Addl_Fed">Planner!$F$16</definedName>
    <definedName name="Addl_state">Planner!$F$17</definedName>
    <definedName name="Allowances">Planner!$F$10</definedName>
    <definedName name="AN_allowance">Planner!$F$32</definedName>
    <definedName name="BW_allow">Planner!$F$30</definedName>
    <definedName name="BW_allowance">Planner!$F$30</definedName>
    <definedName name="Fed_allow">Planner!$F$30</definedName>
    <definedName name="Fed_index">Lookups!$E$35</definedName>
    <definedName name="Fed_taxable">Calculations!$B$26</definedName>
    <definedName name="FICA_pay">Planner!$C$12</definedName>
    <definedName name="FICA_rate">Planner!$F$28</definedName>
    <definedName name="FIT_PPO">Planner!$H$20</definedName>
    <definedName name="Frequency">Planner!$F$13</definedName>
    <definedName name="Gross_pay">Planner!$C$5</definedName>
    <definedName name="Inc_tax_pay">Planner!$C$19</definedName>
    <definedName name="KM1T">Lookups!$L$20:$N$24</definedName>
    <definedName name="KMBW">Lookups!$L$4:$N$8</definedName>
    <definedName name="KMMN">Lookups!$L$12:$N$16</definedName>
    <definedName name="KS_index">Lookups!$N$26</definedName>
    <definedName name="KS_PPO">Planner!$I$23</definedName>
    <definedName name="KS_Table">Lookups!$K$26</definedName>
    <definedName name="KS1T">Lookups!$J$20:$K$24</definedName>
    <definedName name="KSBW">Lookups!$J$4:$K$8</definedName>
    <definedName name="KSMN">Lookups!$J$12:$K$16</definedName>
    <definedName name="M1T">Lookups!$C$26:$E$33</definedName>
    <definedName name="MBW">Lookups!$C$4:$E$11</definedName>
    <definedName name="MMN">Lookups!$C$15:$E$22</definedName>
    <definedName name="MN_allowance">Planner!$F$31</definedName>
    <definedName name="PKM1T">Lookups!$L$62:$M$65</definedName>
    <definedName name="PKMBW">Lookups!$L$46:$M$49</definedName>
    <definedName name="PKMMN">Lookups!$L$54:$M$57</definedName>
    <definedName name="PKS1T">Lookups!$J$62:$K$65</definedName>
    <definedName name="PKSBW">Lookups!$J$46:$K$49</definedName>
    <definedName name="PKSMN">Lookups!$J$54:$K$57</definedName>
    <definedName name="PM1T">Lookups!$C$68:$D$74</definedName>
    <definedName name="PMBW">Lookups!$C$46:$D$52</definedName>
    <definedName name="PMMN">Lookups!$C$57:$D$63</definedName>
    <definedName name="PPO">Planner!$F$20</definedName>
    <definedName name="pro.forma.fed.taxable">Calculations!$B$46</definedName>
    <definedName name="Pro.forma.state.taxable">Calculations!$B$91</definedName>
    <definedName name="PS1T">Lookups!$A$68:$B$74</definedName>
    <definedName name="PSBW">Lookups!$A$46:$B$52</definedName>
    <definedName name="PSMN">Lookups!$A$57:$B$63</definedName>
    <definedName name="Req_403b">Planner!$F$25</definedName>
    <definedName name="S1T">Lookups!$A$27:$B$33</definedName>
    <definedName name="SBW">Lookups!$A$5:$B$11</definedName>
    <definedName name="SIT_PPO">Planner!$H$21</definedName>
    <definedName name="SMN">Lookups!$A$16:$B$22</definedName>
    <definedName name="SSP">Planner!$F$23</definedName>
    <definedName name="State_allow">Planner!$F$33</definedName>
    <definedName name="State_allowances">Planner!$F$11</definedName>
    <definedName name="State_status">Planner!$F$7</definedName>
    <definedName name="State_taxable">Calculations!$B$71</definedName>
    <definedName name="Status">Planner!$F$6</definedName>
    <definedName name="SUP">Planner!$F$22</definedName>
    <definedName name="Table">Lookups!$B$35</definedName>
    <definedName name="YTD_PPO">Planner!$F$21</definedName>
  </definedNames>
  <calcPr calcId="162913"/>
</workbook>
</file>

<file path=xl/calcChain.xml><?xml version="1.0" encoding="utf-8"?>
<calcChain xmlns="http://schemas.openxmlformats.org/spreadsheetml/2006/main">
  <c r="C32" i="1" l="1"/>
  <c r="L49" i="2" l="1"/>
  <c r="L48" i="2"/>
  <c r="L57" i="2"/>
  <c r="L56" i="2"/>
  <c r="L55" i="2"/>
  <c r="L54" i="2"/>
  <c r="L47" i="2"/>
  <c r="L46" i="2"/>
  <c r="N55" i="2"/>
  <c r="N54" i="2"/>
  <c r="N47" i="2"/>
  <c r="N46" i="2"/>
  <c r="H63" i="2"/>
  <c r="G63" i="2"/>
  <c r="H62" i="2"/>
  <c r="G62" i="2"/>
  <c r="H61" i="2"/>
  <c r="G61" i="2"/>
  <c r="H60" i="2"/>
  <c r="G60" i="2"/>
  <c r="H59" i="2"/>
  <c r="G59" i="2"/>
  <c r="H58" i="2"/>
  <c r="G58" i="2"/>
  <c r="H57" i="2"/>
  <c r="G57" i="2"/>
  <c r="H52" i="2"/>
  <c r="G52" i="2"/>
  <c r="H51" i="2"/>
  <c r="G51" i="2"/>
  <c r="H50" i="2"/>
  <c r="G50" i="2"/>
  <c r="H49" i="2"/>
  <c r="G49" i="2"/>
  <c r="H48" i="2"/>
  <c r="G48" i="2"/>
  <c r="H47" i="2"/>
  <c r="G47" i="2"/>
  <c r="H46" i="2"/>
  <c r="G46" i="2"/>
  <c r="H22" i="2"/>
  <c r="H21" i="2"/>
  <c r="H20" i="2"/>
  <c r="H19" i="2"/>
  <c r="H18" i="2"/>
  <c r="H17" i="2"/>
  <c r="H16" i="2"/>
  <c r="G22" i="2"/>
  <c r="G21" i="2"/>
  <c r="G20" i="2"/>
  <c r="G19" i="2"/>
  <c r="G18" i="2"/>
  <c r="G17" i="2"/>
  <c r="G16" i="2"/>
  <c r="H11" i="2"/>
  <c r="H10" i="2"/>
  <c r="H9" i="2"/>
  <c r="H8" i="2"/>
  <c r="H7" i="2"/>
  <c r="H6" i="2"/>
  <c r="H5" i="2"/>
  <c r="G11" i="2"/>
  <c r="G10" i="2"/>
  <c r="G9" i="2"/>
  <c r="G8" i="2"/>
  <c r="G7" i="2"/>
  <c r="G6" i="2"/>
  <c r="G5" i="2"/>
  <c r="N14" i="2"/>
  <c r="N13" i="2"/>
  <c r="N6" i="2"/>
  <c r="N5" i="2"/>
  <c r="J49" i="2"/>
  <c r="J48" i="2"/>
  <c r="J47" i="2"/>
  <c r="J46" i="2"/>
  <c r="J57" i="2"/>
  <c r="J56" i="2"/>
  <c r="J55" i="2"/>
  <c r="J54" i="2"/>
  <c r="L16" i="2"/>
  <c r="L15" i="2"/>
  <c r="L14" i="2"/>
  <c r="L13" i="2"/>
  <c r="L8" i="2"/>
  <c r="L7" i="2"/>
  <c r="L6" i="2"/>
  <c r="L5" i="2"/>
  <c r="J8" i="2"/>
  <c r="J7" i="2"/>
  <c r="J6" i="2"/>
  <c r="J5" i="2"/>
  <c r="J16" i="2"/>
  <c r="J15" i="2"/>
  <c r="J14" i="2"/>
  <c r="J13" i="2"/>
  <c r="C63" i="2" l="1"/>
  <c r="C62" i="2"/>
  <c r="C61" i="2"/>
  <c r="C60" i="2"/>
  <c r="C59" i="2"/>
  <c r="C58" i="2"/>
  <c r="C57" i="2"/>
  <c r="C52" i="2"/>
  <c r="C51" i="2"/>
  <c r="C50" i="2"/>
  <c r="C49" i="2"/>
  <c r="C48" i="2"/>
  <c r="C47" i="2"/>
  <c r="C46" i="2"/>
  <c r="A63" i="2"/>
  <c r="A62" i="2"/>
  <c r="A61" i="2"/>
  <c r="A60" i="2"/>
  <c r="A59" i="2"/>
  <c r="A58" i="2"/>
  <c r="A57" i="2"/>
  <c r="A52" i="2"/>
  <c r="A51" i="2"/>
  <c r="A50" i="2"/>
  <c r="A49" i="2"/>
  <c r="A48" i="2"/>
  <c r="A47" i="2"/>
  <c r="A46" i="2"/>
  <c r="C22" i="2" l="1"/>
  <c r="C21" i="2"/>
  <c r="C20" i="2"/>
  <c r="C19" i="2"/>
  <c r="C18" i="2"/>
  <c r="C17" i="2"/>
  <c r="C16" i="2"/>
  <c r="C11" i="2"/>
  <c r="C10" i="2"/>
  <c r="C9" i="2"/>
  <c r="C8" i="2"/>
  <c r="C7" i="2"/>
  <c r="C6" i="2"/>
  <c r="C5" i="2"/>
  <c r="A22" i="2"/>
  <c r="A21" i="2"/>
  <c r="A20" i="2"/>
  <c r="A19" i="2"/>
  <c r="A18" i="2"/>
  <c r="A17" i="2"/>
  <c r="A16" i="2"/>
  <c r="A11" i="2"/>
  <c r="A10" i="2"/>
  <c r="A9" i="2"/>
  <c r="A8" i="2"/>
  <c r="A7" i="2"/>
  <c r="A6" i="2"/>
  <c r="A5" i="2" l="1"/>
  <c r="F6" i="3" l="1"/>
  <c r="B9" i="3"/>
  <c r="M67" i="2" l="1"/>
  <c r="L67" i="2"/>
  <c r="D76" i="2"/>
  <c r="C76" i="2"/>
  <c r="B77" i="3"/>
  <c r="B79" i="3" s="1"/>
  <c r="K67" i="2" l="1"/>
  <c r="B76" i="2"/>
  <c r="C89" i="3" l="1"/>
  <c r="C87" i="3"/>
  <c r="C88" i="3"/>
  <c r="B85" i="3"/>
  <c r="B48" i="3"/>
  <c r="C43" i="3"/>
  <c r="C44" i="3" s="1"/>
  <c r="C42" i="3"/>
  <c r="B45" i="3" l="1"/>
  <c r="F28" i="1" l="1"/>
  <c r="F7" i="3" s="1"/>
  <c r="C15" i="1" l="1"/>
  <c r="B64" i="3"/>
  <c r="B84" i="3" s="1"/>
  <c r="B20" i="3"/>
  <c r="B39" i="3" s="1"/>
  <c r="B73" i="3"/>
  <c r="B93" i="3" s="1"/>
  <c r="C69" i="3"/>
  <c r="C66" i="3"/>
  <c r="C67" i="3"/>
  <c r="C68" i="3" s="1"/>
  <c r="B28" i="3"/>
  <c r="C23" i="3"/>
  <c r="C24" i="3" s="1"/>
  <c r="C22" i="3"/>
  <c r="B7" i="3"/>
  <c r="B6" i="3"/>
  <c r="B5" i="3"/>
  <c r="B70" i="3" l="1"/>
  <c r="B90" i="3" s="1"/>
  <c r="B25" i="3"/>
  <c r="B100" i="3"/>
  <c r="B55" i="3"/>
  <c r="C35" i="2"/>
  <c r="C12" i="1"/>
  <c r="D35" i="2"/>
  <c r="L26" i="2"/>
  <c r="M26" i="2"/>
  <c r="C53" i="1"/>
  <c r="C48" i="1"/>
  <c r="C54" i="1"/>
  <c r="E52" i="2" l="1"/>
  <c r="E11" i="2"/>
  <c r="E63" i="2"/>
  <c r="E33" i="2"/>
  <c r="E74" i="2"/>
  <c r="E22" i="2"/>
  <c r="E70" i="2"/>
  <c r="E73" i="2"/>
  <c r="E69" i="2"/>
  <c r="E72" i="2"/>
  <c r="E71" i="2"/>
  <c r="E10" i="2"/>
  <c r="E60" i="2"/>
  <c r="E51" i="2"/>
  <c r="E47" i="2"/>
  <c r="E59" i="2"/>
  <c r="E50" i="2"/>
  <c r="E46" i="2"/>
  <c r="E62" i="2"/>
  <c r="E58" i="2"/>
  <c r="E49" i="2"/>
  <c r="E68" i="2"/>
  <c r="E61" i="2"/>
  <c r="E57" i="2"/>
  <c r="E48" i="2"/>
  <c r="C19" i="1"/>
  <c r="B4" i="3"/>
  <c r="B8" i="3" s="1"/>
  <c r="K26" i="2"/>
  <c r="E27" i="2"/>
  <c r="E30" i="2"/>
  <c r="E32" i="2"/>
  <c r="E16" i="2"/>
  <c r="B35" i="2"/>
  <c r="E17" i="2"/>
  <c r="E19" i="2"/>
  <c r="E21" i="2"/>
  <c r="E29" i="2"/>
  <c r="E31" i="2"/>
  <c r="E28" i="2"/>
  <c r="E5" i="2"/>
  <c r="E18" i="2"/>
  <c r="E20" i="2"/>
  <c r="E6" i="2"/>
  <c r="E7" i="2"/>
  <c r="E8" i="2"/>
  <c r="E9" i="2"/>
  <c r="M22" i="2" l="1"/>
  <c r="D33" i="2"/>
  <c r="D29" i="2"/>
  <c r="B31" i="2"/>
  <c r="B74" i="2"/>
  <c r="B70" i="2"/>
  <c r="K22" i="2"/>
  <c r="D28" i="2"/>
  <c r="B69" i="2"/>
  <c r="B33" i="2"/>
  <c r="D74" i="2"/>
  <c r="B73" i="2"/>
  <c r="D31" i="2"/>
  <c r="B72" i="2"/>
  <c r="M63" i="2"/>
  <c r="D30" i="2"/>
  <c r="B32" i="2"/>
  <c r="B28" i="2"/>
  <c r="B71" i="2"/>
  <c r="D73" i="2"/>
  <c r="D69" i="2"/>
  <c r="D72" i="2"/>
  <c r="D32" i="2"/>
  <c r="B30" i="2"/>
  <c r="D71" i="2"/>
  <c r="K63" i="2"/>
  <c r="B29" i="2"/>
  <c r="D70" i="2"/>
  <c r="B68" i="2"/>
  <c r="B32" i="3"/>
  <c r="B34" i="3" s="1"/>
  <c r="B40" i="3"/>
  <c r="B19" i="3"/>
  <c r="B21" i="3" s="1"/>
  <c r="B26" i="3" s="1"/>
  <c r="B10" i="3"/>
  <c r="B11" i="3" s="1"/>
  <c r="M62" i="2"/>
  <c r="K62" i="2"/>
  <c r="N26" i="2"/>
  <c r="B102" i="3" s="1"/>
  <c r="N67" i="2"/>
  <c r="E35" i="2"/>
  <c r="B57" i="3" s="1"/>
  <c r="E76" i="2"/>
  <c r="D68" i="2"/>
  <c r="M21" i="2"/>
  <c r="B27" i="2"/>
  <c r="D27" i="2"/>
  <c r="B63" i="3"/>
  <c r="K21" i="2"/>
  <c r="D22" i="2" l="1"/>
  <c r="D18" i="2"/>
  <c r="B20" i="2"/>
  <c r="D11" i="2"/>
  <c r="D7" i="2"/>
  <c r="B9" i="2"/>
  <c r="D17" i="2"/>
  <c r="D6" i="2"/>
  <c r="B18" i="2"/>
  <c r="B11" i="2"/>
  <c r="B19" i="2"/>
  <c r="B8" i="2"/>
  <c r="D20" i="2"/>
  <c r="D9" i="2"/>
  <c r="D19" i="2"/>
  <c r="B21" i="2"/>
  <c r="B17" i="2"/>
  <c r="D8" i="2"/>
  <c r="B10" i="2"/>
  <c r="B6" i="2"/>
  <c r="D21" i="2"/>
  <c r="D10" i="2"/>
  <c r="B22" i="2"/>
  <c r="B7" i="2"/>
  <c r="B13" i="3"/>
  <c r="B15" i="3" s="1"/>
  <c r="C49" i="1" s="1"/>
  <c r="B38" i="3"/>
  <c r="B41" i="3" s="1"/>
  <c r="B46" i="3" s="1"/>
  <c r="B65" i="3"/>
  <c r="B71" i="3" s="1"/>
  <c r="B83" i="3"/>
  <c r="B86" i="3" s="1"/>
  <c r="B91" i="3" s="1"/>
  <c r="D16" i="2"/>
  <c r="B16" i="2"/>
  <c r="D5" i="2"/>
  <c r="B5" i="2"/>
  <c r="M55" i="2" l="1"/>
  <c r="M47" i="2"/>
  <c r="K55" i="2"/>
  <c r="K47" i="2"/>
  <c r="D63" i="2"/>
  <c r="D59" i="2"/>
  <c r="B61" i="2"/>
  <c r="D52" i="2"/>
  <c r="D48" i="2"/>
  <c r="B50" i="2"/>
  <c r="D58" i="2"/>
  <c r="B47" i="3" s="1"/>
  <c r="B49" i="2"/>
  <c r="D61" i="2"/>
  <c r="B59" i="2"/>
  <c r="B48" i="2"/>
  <c r="D51" i="2"/>
  <c r="D50" i="2"/>
  <c r="D60" i="2"/>
  <c r="B62" i="2"/>
  <c r="B58" i="2"/>
  <c r="D49" i="2"/>
  <c r="B51" i="2"/>
  <c r="B47" i="2"/>
  <c r="D62" i="2"/>
  <c r="B60" i="2"/>
  <c r="D47" i="2"/>
  <c r="B63" i="2"/>
  <c r="B52" i="2"/>
  <c r="M6" i="2"/>
  <c r="K6" i="2"/>
  <c r="M14" i="2"/>
  <c r="K14" i="2"/>
  <c r="M54" i="2"/>
  <c r="M46" i="2"/>
  <c r="K54" i="2"/>
  <c r="K46" i="2"/>
  <c r="D57" i="2"/>
  <c r="D46" i="2"/>
  <c r="B57" i="2"/>
  <c r="B46" i="2"/>
  <c r="K13" i="2"/>
  <c r="K5" i="2"/>
  <c r="M13" i="2"/>
  <c r="M5" i="2"/>
  <c r="B27" i="3"/>
  <c r="B29" i="3" s="1"/>
  <c r="B72" i="3" l="1"/>
  <c r="B74" i="3" s="1"/>
  <c r="B95" i="3" s="1"/>
  <c r="B92" i="3"/>
  <c r="B94" i="3" s="1"/>
  <c r="B49" i="3"/>
  <c r="B96" i="3" l="1"/>
  <c r="B104" i="3" s="1"/>
  <c r="C52" i="1" s="1"/>
  <c r="B50" i="3"/>
  <c r="B51" i="3" l="1"/>
  <c r="B59" i="3" s="1"/>
  <c r="C51" i="1" s="1"/>
  <c r="C56" i="1" s="1"/>
</calcChain>
</file>

<file path=xl/sharedStrings.xml><?xml version="1.0" encoding="utf-8"?>
<sst xmlns="http://schemas.openxmlformats.org/spreadsheetml/2006/main" count="262" uniqueCount="163">
  <si>
    <t>Washburn University</t>
  </si>
  <si>
    <t>Gross pay</t>
  </si>
  <si>
    <t>Employee Paycheck Scenario Planner</t>
  </si>
  <si>
    <t>Less pre-tax deductions:</t>
  </si>
  <si>
    <t>INPUT:</t>
  </si>
  <si>
    <t>Pay subject to FICA</t>
  </si>
  <si>
    <t>Less pre-FICA deductions:</t>
  </si>
  <si>
    <t>403(b) - required</t>
  </si>
  <si>
    <t>403(b) - elective</t>
  </si>
  <si>
    <t>457(b)</t>
  </si>
  <si>
    <t>After-tax deductions:</t>
  </si>
  <si>
    <t>Short-term disability</t>
  </si>
  <si>
    <t>Long-term disability</t>
  </si>
  <si>
    <t>United Way</t>
  </si>
  <si>
    <t>Annual Giving</t>
  </si>
  <si>
    <t>Union dues</t>
  </si>
  <si>
    <t>Garnishments</t>
  </si>
  <si>
    <t>SRWC membership</t>
  </si>
  <si>
    <t>Other</t>
  </si>
  <si>
    <t>Pay subject to income tax</t>
  </si>
  <si>
    <t>Total after-tax deductions</t>
  </si>
  <si>
    <t>Filing status</t>
  </si>
  <si>
    <t>S = single</t>
  </si>
  <si>
    <t>HH = head of household</t>
  </si>
  <si>
    <t>M = married</t>
  </si>
  <si>
    <t>MS = married, but withhold at single rate</t>
  </si>
  <si>
    <t>Allowances</t>
  </si>
  <si>
    <t>Pay frequency</t>
  </si>
  <si>
    <t>FICA taxes withheld</t>
  </si>
  <si>
    <t>Income taxes withheld</t>
  </si>
  <si>
    <t>Pre-tax deductions</t>
  </si>
  <si>
    <t>After-tax deductions</t>
  </si>
  <si>
    <t>Net pay</t>
  </si>
  <si>
    <t>Federal</t>
  </si>
  <si>
    <t>State</t>
  </si>
  <si>
    <t>Add'l amount withheld</t>
  </si>
  <si>
    <t>FICA rate</t>
  </si>
  <si>
    <t>Employee portion only</t>
  </si>
  <si>
    <t>OTHER PLANNER ASSUMPTIONS (do not change):</t>
  </si>
  <si>
    <t>State taxes</t>
  </si>
  <si>
    <t>KS</t>
  </si>
  <si>
    <t>Monthly</t>
  </si>
  <si>
    <t>Single (SBW)</t>
  </si>
  <si>
    <t>Married (MBW)</t>
  </si>
  <si>
    <t>Single (SMN)</t>
  </si>
  <si>
    <t>Married (MMN)</t>
  </si>
  <si>
    <t>Table:</t>
  </si>
  <si>
    <t>Annualized</t>
  </si>
  <si>
    <t>"Single" includes S, HH and MS</t>
  </si>
  <si>
    <t>Bi-Weekly</t>
  </si>
  <si>
    <t>Federal allowance</t>
  </si>
  <si>
    <t>State allowance</t>
  </si>
  <si>
    <t>State - Kansas</t>
  </si>
  <si>
    <t>Single (KSBW)</t>
  </si>
  <si>
    <t>Married (KMBW)</t>
  </si>
  <si>
    <t>Married (KMMN)</t>
  </si>
  <si>
    <t>Single (KSMN)</t>
  </si>
  <si>
    <t>PLANNER CALCULATION RESULTS:</t>
  </si>
  <si>
    <t>PPO</t>
  </si>
  <si>
    <t>SUP</t>
  </si>
  <si>
    <t>SSP</t>
  </si>
  <si>
    <t>Personal leave payout</t>
  </si>
  <si>
    <t>Supplemental annualized</t>
  </si>
  <si>
    <t>YTD gross</t>
  </si>
  <si>
    <t>Other pay types:</t>
  </si>
  <si>
    <t>Mar Rate</t>
  </si>
  <si>
    <t>Supplemental @ flat rate</t>
  </si>
  <si>
    <t>&lt;-- KS_index</t>
  </si>
  <si>
    <t>BW</t>
  </si>
  <si>
    <t>FT student?</t>
  </si>
  <si>
    <t>Enter "Y" if full-time WU student</t>
  </si>
  <si>
    <t>MN</t>
  </si>
  <si>
    <t>Single</t>
  </si>
  <si>
    <t>Married</t>
  </si>
  <si>
    <t>1 Time (Annual)</t>
  </si>
  <si>
    <t>Annual</t>
  </si>
  <si>
    <t>Single (S1T)</t>
  </si>
  <si>
    <t>Married (M1T)</t>
  </si>
  <si>
    <t>MN = monthly; BW = bi-weekly; 1T = one-time</t>
  </si>
  <si>
    <t>Single (KS1T)</t>
  </si>
  <si>
    <t>Married (KM1T)</t>
  </si>
  <si>
    <t>1-Time</t>
  </si>
  <si>
    <t>&lt;-- Fed_index</t>
  </si>
  <si>
    <t>Calculations</t>
  </si>
  <si>
    <t>FICA taxes:</t>
  </si>
  <si>
    <t>Leave payout (PPO)</t>
  </si>
  <si>
    <t>FICA taxable income (regular pay)</t>
  </si>
  <si>
    <t>Supplemental (SUP)</t>
  </si>
  <si>
    <t>Supplemental (SSP)</t>
  </si>
  <si>
    <t>Total pay subject to FICA</t>
  </si>
  <si>
    <t>Total FICA taxes</t>
  </si>
  <si>
    <t>Federal withholding:</t>
  </si>
  <si>
    <t>Pay subject to income tax (regular pay)</t>
  </si>
  <si>
    <t>Allowance amount</t>
  </si>
  <si>
    <t>Total allowance amount</t>
  </si>
  <si>
    <t>Taxable income</t>
  </si>
  <si>
    <t>Calculated withholding</t>
  </si>
  <si>
    <t>Additional federal withholding</t>
  </si>
  <si>
    <t>Total federal withholding</t>
  </si>
  <si>
    <t>Pay subject to income tax (SUP pay)</t>
  </si>
  <si>
    <t>Pay rate on supplemental pay</t>
  </si>
  <si>
    <t>Personal leave payout (PPO)</t>
  </si>
  <si>
    <t>YTD gross pay before PPO</t>
  </si>
  <si>
    <t>Pro forma annualized income</t>
  </si>
  <si>
    <t>Marginal tax rate</t>
  </si>
  <si>
    <t>Federal withholding (PPO)</t>
  </si>
  <si>
    <t>State withholding:</t>
  </si>
  <si>
    <t>Annual pays</t>
  </si>
  <si>
    <t>Additional state withholding</t>
  </si>
  <si>
    <t>State withholding (PPO)</t>
  </si>
  <si>
    <t>Total state withholding</t>
  </si>
  <si>
    <t>Required 403(b)</t>
  </si>
  <si>
    <t>Enter "0%", "3%", "6%" or "9%" as applicable</t>
  </si>
  <si>
    <t>deferred pay, and PPO)</t>
  </si>
  <si>
    <t>Gross pay (exclude supplemental,</t>
  </si>
  <si>
    <t>Federal withholding (SSP)</t>
  </si>
  <si>
    <t>State withholding (SSP)</t>
  </si>
  <si>
    <t>Allowance amount - regular pay</t>
  </si>
  <si>
    <t>Total regular and PPO pay</t>
  </si>
  <si>
    <t>Federal withholding (regular &amp; PPO)</t>
  </si>
  <si>
    <t>Federal withholding (SUP)</t>
  </si>
  <si>
    <t>Regular &amp; PPO</t>
  </si>
  <si>
    <t>Pro forma calculation</t>
  </si>
  <si>
    <t>Pay subject to income tax (SSP)</t>
  </si>
  <si>
    <t>Total pro forma pay</t>
  </si>
  <si>
    <t>Pro forma withholding</t>
  </si>
  <si>
    <t>Less: withholding on regular and PPO</t>
  </si>
  <si>
    <t>Currently not being used, as PPO is annualized and included with regular</t>
  </si>
  <si>
    <t>State withholding (regular &amp; PPO)</t>
  </si>
  <si>
    <t>State withholding (SUP)</t>
  </si>
  <si>
    <t>Federal - Pro forma</t>
  </si>
  <si>
    <t>Single (PSBW)</t>
  </si>
  <si>
    <t>Single (PSMN)</t>
  </si>
  <si>
    <t>Single (PS1T)</t>
  </si>
  <si>
    <t>Married (PMBW)</t>
  </si>
  <si>
    <t>Married (PMMN)</t>
  </si>
  <si>
    <t>Married (PM1T)</t>
  </si>
  <si>
    <t>State - Kansas - Pro forma</t>
  </si>
  <si>
    <t>Single (PKSBW)</t>
  </si>
  <si>
    <t>Single (PKSMN)</t>
  </si>
  <si>
    <t>Single (PKS1T)</t>
  </si>
  <si>
    <t>Married (PKMBW)</t>
  </si>
  <si>
    <t>Married (PKMMN)</t>
  </si>
  <si>
    <t>Married (PKM1T)</t>
  </si>
  <si>
    <t>Pre-supplemental gross pay</t>
  </si>
  <si>
    <t>YTD gross before PPO or supplemental</t>
  </si>
  <si>
    <t>Post-supplemental gross pay</t>
  </si>
  <si>
    <t>Social security max</t>
  </si>
  <si>
    <t>Medicare rate</t>
  </si>
  <si>
    <t>Social security rate</t>
  </si>
  <si>
    <t>Max social sec tax</t>
  </si>
  <si>
    <t>Additional Medicare tax</t>
  </si>
  <si>
    <t>"Normal" FICA taxes</t>
  </si>
  <si>
    <t>UPDATE COLORED FIELDS AS NEEDED</t>
  </si>
  <si>
    <t>Flex Spending - health</t>
  </si>
  <si>
    <t>Flex Spending - dependent care</t>
  </si>
  <si>
    <t>Voluntary Life Insurance</t>
  </si>
  <si>
    <t>Health/Dental/Vision premiums</t>
  </si>
  <si>
    <t>Revised:  January 2019</t>
  </si>
  <si>
    <t>Federal tax brackets updated for 2019 on 1/25/19 by MS</t>
  </si>
  <si>
    <t>State tax brackets updated for 2019 on 1/25/19 by MS</t>
  </si>
  <si>
    <t>Add X to M Ann</t>
  </si>
  <si>
    <t>Add X to S 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</si>
</sst>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00_);_(* \(#,##0.0000\);_(* &quot;-&quot;??_);_(@_)"/>
  </numFmts>
  <fonts count="24" x14ac:knownFonts="1">
    <font>
      <sz val="10"/>
      <name val="Arial"/>
    </font>
    <font>
      <sz val="10"/>
      <name val="Arial"/>
      <family val="2"/>
    </font>
    <font>
      <b/>
      <sz val="10"/>
      <name val="Arial"/>
      <family val="2"/>
    </font>
    <font>
      <b/>
      <i/>
      <sz val="14"/>
      <name val="Arial"/>
      <family val="2"/>
    </font>
    <font>
      <b/>
      <u/>
      <sz val="10"/>
      <name val="Arial"/>
      <family val="2"/>
    </font>
    <font>
      <b/>
      <u val="doubleAccounting"/>
      <sz val="10"/>
      <name val="Arial"/>
      <family val="2"/>
    </font>
    <font>
      <sz val="8"/>
      <name val="Arial"/>
      <family val="2"/>
    </font>
    <font>
      <u val="singleAccounting"/>
      <sz val="10"/>
      <name val="Arial"/>
      <family val="2"/>
    </font>
    <font>
      <i/>
      <sz val="10"/>
      <name val="Arial"/>
      <family val="2"/>
    </font>
    <font>
      <sz val="10"/>
      <name val="Arial"/>
      <family val="2"/>
    </font>
    <font>
      <sz val="10"/>
      <color indexed="17"/>
      <name val="Arial"/>
      <family val="2"/>
    </font>
    <font>
      <b/>
      <i/>
      <sz val="10"/>
      <name val="Arial"/>
      <family val="2"/>
    </font>
    <font>
      <sz val="9"/>
      <name val="Arial"/>
      <family val="2"/>
    </font>
    <font>
      <sz val="10"/>
      <color indexed="12"/>
      <name val="Arial"/>
      <family val="2"/>
    </font>
    <font>
      <i/>
      <sz val="8"/>
      <name val="Arial"/>
      <family val="2"/>
    </font>
    <font>
      <sz val="10"/>
      <color rgb="FF0000FF"/>
      <name val="Arial"/>
      <family val="2"/>
    </font>
    <font>
      <sz val="10"/>
      <color rgb="FF3F3F76"/>
      <name val="Calibri"/>
      <family val="2"/>
    </font>
    <font>
      <b/>
      <sz val="10"/>
      <color rgb="FF3F3F3F"/>
      <name val="Calibri"/>
      <family val="2"/>
    </font>
    <font>
      <b/>
      <sz val="10"/>
      <color rgb="FFFA7D00"/>
      <name val="Calibri"/>
      <family val="2"/>
    </font>
    <font>
      <i/>
      <sz val="10"/>
      <color rgb="FF7F7F7F"/>
      <name val="Calibri"/>
      <family val="2"/>
    </font>
    <font>
      <b/>
      <sz val="14"/>
      <name val="Arial"/>
      <family val="2"/>
    </font>
    <font>
      <sz val="10"/>
      <color rgb="FFC00000"/>
      <name val="Calibri"/>
      <family val="2"/>
    </font>
    <font>
      <sz val="10"/>
      <name val="Calibri"/>
      <family val="2"/>
    </font>
    <font>
      <sz val="10"/>
      <color theme="4" tint="-0.24994659260841701"/>
      <name val="Calibri"/>
      <family val="2"/>
    </font>
  </fonts>
  <fills count="8">
    <fill>
      <patternFill patternType="none"/>
    </fill>
    <fill>
      <patternFill patternType="gray125"/>
    </fill>
    <fill>
      <patternFill patternType="solid">
        <fgColor indexed="43"/>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9" tint="0.59999389629810485"/>
        <bgColor indexed="64"/>
      </patternFill>
    </fill>
    <fill>
      <patternFill patternType="solid">
        <fgColor theme="9" tint="0.39997558519241921"/>
        <bgColor indexed="64"/>
      </patternFill>
    </fill>
  </fills>
  <borders count="18">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3" borderId="15" applyNumberFormat="0" applyAlignment="0" applyProtection="0"/>
    <xf numFmtId="0" fontId="17" fillId="4" borderId="16" applyNumberFormat="0" applyAlignment="0" applyProtection="0"/>
    <xf numFmtId="0" fontId="18" fillId="4" borderId="15" applyNumberFormat="0" applyAlignment="0" applyProtection="0"/>
    <xf numFmtId="0" fontId="21" fillId="0" borderId="0" applyNumberFormat="0" applyFill="0" applyAlignment="0" applyProtection="0"/>
    <xf numFmtId="0" fontId="22" fillId="5" borderId="17" applyNumberFormat="0" applyAlignment="0" applyProtection="0"/>
    <xf numFmtId="0" fontId="19" fillId="0" borderId="0" applyNumberFormat="0" applyFill="0" applyBorder="0" applyAlignment="0" applyProtection="0"/>
    <xf numFmtId="43" fontId="23" fillId="0" borderId="0" applyFill="0" applyAlignment="0" applyProtection="0"/>
  </cellStyleXfs>
  <cellXfs count="103">
    <xf numFmtId="0" fontId="0" fillId="0" borderId="0" xfId="0"/>
    <xf numFmtId="0" fontId="2" fillId="0" borderId="0" xfId="0" applyFont="1"/>
    <xf numFmtId="0" fontId="4" fillId="0" borderId="0" xfId="0" applyFont="1"/>
    <xf numFmtId="0" fontId="0" fillId="0" borderId="0" xfId="0" applyAlignment="1">
      <alignment horizontal="left" indent="1"/>
    </xf>
    <xf numFmtId="0" fontId="0" fillId="0" borderId="0" xfId="0" applyFill="1" applyBorder="1" applyAlignment="1">
      <alignment horizontal="left"/>
    </xf>
    <xf numFmtId="43" fontId="0" fillId="0" borderId="0" xfId="1" applyFont="1"/>
    <xf numFmtId="0" fontId="2" fillId="0" borderId="0" xfId="0" applyFont="1" applyFill="1" applyBorder="1" applyAlignment="1">
      <alignment horizontal="left"/>
    </xf>
    <xf numFmtId="43" fontId="2" fillId="0" borderId="0" xfId="1" applyFont="1"/>
    <xf numFmtId="43" fontId="5" fillId="0" borderId="0" xfId="1" applyFont="1"/>
    <xf numFmtId="0" fontId="0" fillId="0" borderId="1" xfId="0" applyBorder="1"/>
    <xf numFmtId="43" fontId="7" fillId="0" borderId="0" xfId="1" applyFont="1"/>
    <xf numFmtId="0" fontId="8" fillId="0" borderId="0" xfId="0" applyFont="1"/>
    <xf numFmtId="0" fontId="0" fillId="0" borderId="0" xfId="0" applyAlignment="1">
      <alignment horizontal="center"/>
    </xf>
    <xf numFmtId="10" fontId="10" fillId="0" borderId="0" xfId="0" applyNumberFormat="1" applyFont="1"/>
    <xf numFmtId="43" fontId="10" fillId="0" borderId="0" xfId="1" applyFont="1"/>
    <xf numFmtId="0" fontId="11" fillId="0" borderId="1" xfId="0" applyFont="1" applyBorder="1"/>
    <xf numFmtId="43" fontId="9" fillId="0" borderId="2" xfId="1" applyFont="1" applyBorder="1" applyAlignment="1"/>
    <xf numFmtId="43" fontId="9" fillId="0" borderId="3" xfId="1" applyFont="1" applyBorder="1" applyAlignment="1"/>
    <xf numFmtId="43" fontId="0" fillId="0" borderId="2" xfId="1" applyFont="1" applyBorder="1"/>
    <xf numFmtId="43" fontId="0" fillId="0" borderId="3" xfId="1" applyFont="1" applyBorder="1"/>
    <xf numFmtId="43" fontId="0" fillId="0" borderId="4" xfId="1" applyFont="1" applyBorder="1"/>
    <xf numFmtId="43" fontId="0" fillId="0" borderId="5" xfId="1" applyFont="1" applyBorder="1"/>
    <xf numFmtId="43" fontId="9" fillId="0" borderId="6" xfId="1" applyFont="1" applyBorder="1" applyAlignment="1"/>
    <xf numFmtId="43" fontId="9" fillId="0" borderId="7" xfId="1" applyFont="1" applyBorder="1" applyAlignment="1"/>
    <xf numFmtId="43" fontId="0" fillId="2" borderId="8" xfId="1" applyFont="1" applyFill="1" applyBorder="1" applyProtection="1">
      <protection locked="0"/>
    </xf>
    <xf numFmtId="0" fontId="0" fillId="2" borderId="8" xfId="0" applyFill="1" applyBorder="1" applyAlignment="1" applyProtection="1">
      <alignment horizontal="center"/>
      <protection locked="0"/>
    </xf>
    <xf numFmtId="164" fontId="0" fillId="2" borderId="8" xfId="1" applyNumberFormat="1" applyFont="1" applyFill="1" applyBorder="1" applyProtection="1">
      <protection locked="0"/>
    </xf>
    <xf numFmtId="0" fontId="9" fillId="2" borderId="8" xfId="0" applyFont="1" applyFill="1" applyBorder="1" applyAlignment="1" applyProtection="1">
      <alignment horizontal="center"/>
      <protection locked="0"/>
    </xf>
    <xf numFmtId="0" fontId="12" fillId="0" borderId="0" xfId="0" applyFont="1" applyAlignment="1">
      <alignment horizontal="left" indent="2"/>
    </xf>
    <xf numFmtId="0" fontId="12" fillId="0" borderId="0" xfId="0" applyFont="1" applyAlignment="1">
      <alignment horizontal="left" indent="1"/>
    </xf>
    <xf numFmtId="0" fontId="2" fillId="0" borderId="8" xfId="0" applyFont="1" applyBorder="1" applyAlignment="1">
      <alignment horizontal="center"/>
    </xf>
    <xf numFmtId="0" fontId="0" fillId="0" borderId="9" xfId="0" applyBorder="1"/>
    <xf numFmtId="0" fontId="0" fillId="0" borderId="10" xfId="0" applyBorder="1"/>
    <xf numFmtId="10" fontId="13" fillId="0" borderId="11" xfId="2" applyNumberFormat="1" applyFont="1" applyBorder="1"/>
    <xf numFmtId="9" fontId="9" fillId="0" borderId="11" xfId="2" applyFont="1" applyBorder="1"/>
    <xf numFmtId="9" fontId="15" fillId="0" borderId="0" xfId="0" applyNumberFormat="1" applyFont="1"/>
    <xf numFmtId="0" fontId="9" fillId="0" borderId="0" xfId="0" applyFont="1"/>
    <xf numFmtId="0" fontId="14" fillId="0" borderId="0" xfId="0" applyFont="1" applyAlignment="1">
      <alignment horizontal="right"/>
    </xf>
    <xf numFmtId="0" fontId="20" fillId="0" borderId="0" xfId="0" applyFont="1"/>
    <xf numFmtId="43" fontId="9" fillId="0" borderId="0" xfId="1" applyFont="1"/>
    <xf numFmtId="0" fontId="11" fillId="0" borderId="0" xfId="0" applyFont="1"/>
    <xf numFmtId="0" fontId="0" fillId="0" borderId="0" xfId="0" applyAlignment="1">
      <alignment horizontal="left" indent="2"/>
    </xf>
    <xf numFmtId="0" fontId="2" fillId="0" borderId="0" xfId="0" applyFont="1" applyAlignment="1">
      <alignment horizontal="left"/>
    </xf>
    <xf numFmtId="0" fontId="2" fillId="0" borderId="0" xfId="0" applyFont="1" applyAlignment="1">
      <alignment horizontal="left" indent="2"/>
    </xf>
    <xf numFmtId="43" fontId="21" fillId="0" borderId="0" xfId="6" applyNumberFormat="1"/>
    <xf numFmtId="43" fontId="18" fillId="4" borderId="15" xfId="5" applyNumberFormat="1"/>
    <xf numFmtId="10" fontId="21" fillId="0" borderId="0" xfId="6" applyNumberFormat="1"/>
    <xf numFmtId="43" fontId="19" fillId="0" borderId="0" xfId="8" applyNumberFormat="1"/>
    <xf numFmtId="43" fontId="17" fillId="4" borderId="16" xfId="4" applyNumberFormat="1"/>
    <xf numFmtId="164" fontId="21" fillId="0" borderId="0" xfId="6" applyNumberFormat="1"/>
    <xf numFmtId="43" fontId="21" fillId="0" borderId="0" xfId="6" applyNumberFormat="1" applyAlignment="1">
      <alignment horizontal="right"/>
    </xf>
    <xf numFmtId="43" fontId="22" fillId="5" borderId="17" xfId="7" applyNumberFormat="1"/>
    <xf numFmtId="0" fontId="0" fillId="0" borderId="0" xfId="0" applyFill="1" applyBorder="1" applyAlignment="1">
      <alignment horizontal="left" indent="1"/>
    </xf>
    <xf numFmtId="9" fontId="16" fillId="3" borderId="15" xfId="3" applyNumberFormat="1"/>
    <xf numFmtId="43" fontId="21" fillId="0" borderId="0" xfId="6" applyNumberFormat="1" applyFont="1"/>
    <xf numFmtId="9" fontId="18" fillId="4" borderId="15" xfId="2" applyFont="1" applyFill="1" applyBorder="1"/>
    <xf numFmtId="164" fontId="21" fillId="0" borderId="0" xfId="6" applyNumberFormat="1" applyAlignment="1">
      <alignment horizontal="right"/>
    </xf>
    <xf numFmtId="0" fontId="0" fillId="0" borderId="0" xfId="0" applyFill="1"/>
    <xf numFmtId="43" fontId="21" fillId="0" borderId="0" xfId="6" applyNumberFormat="1" applyFill="1"/>
    <xf numFmtId="9" fontId="0" fillId="2" borderId="8" xfId="1" applyNumberFormat="1" applyFont="1" applyFill="1" applyBorder="1" applyProtection="1">
      <protection locked="0"/>
    </xf>
    <xf numFmtId="43" fontId="0" fillId="0" borderId="0" xfId="1" applyFont="1" applyFill="1" applyBorder="1" applyProtection="1"/>
    <xf numFmtId="0" fontId="19" fillId="0" borderId="0" xfId="8"/>
    <xf numFmtId="10" fontId="16" fillId="3" borderId="15" xfId="2" applyNumberFormat="1" applyFont="1" applyFill="1" applyBorder="1"/>
    <xf numFmtId="43" fontId="0" fillId="0" borderId="0" xfId="0" applyNumberFormat="1"/>
    <xf numFmtId="165" fontId="0" fillId="0" borderId="0" xfId="0" applyNumberFormat="1"/>
    <xf numFmtId="0" fontId="4" fillId="0" borderId="0" xfId="0" applyFont="1" applyAlignment="1">
      <alignment horizontal="left" indent="1"/>
    </xf>
    <xf numFmtId="0" fontId="11" fillId="0" borderId="0" xfId="0" applyFont="1" applyAlignment="1">
      <alignment horizontal="left" indent="1"/>
    </xf>
    <xf numFmtId="0" fontId="0" fillId="0" borderId="0" xfId="0" applyAlignment="1">
      <alignment horizontal="left" indent="3"/>
    </xf>
    <xf numFmtId="43" fontId="23" fillId="0" borderId="0" xfId="9"/>
    <xf numFmtId="43" fontId="16" fillId="3" borderId="15" xfId="3" applyNumberFormat="1"/>
    <xf numFmtId="10" fontId="16" fillId="3" borderId="15" xfId="3" applyNumberFormat="1"/>
    <xf numFmtId="43" fontId="0" fillId="0" borderId="0" xfId="1" quotePrefix="1" applyFont="1"/>
    <xf numFmtId="43" fontId="17" fillId="4" borderId="16" xfId="4" quotePrefix="1" applyNumberFormat="1"/>
    <xf numFmtId="0" fontId="1" fillId="2" borderId="8" xfId="0" applyFont="1" applyFill="1" applyBorder="1" applyAlignment="1" applyProtection="1">
      <alignment horizontal="center"/>
      <protection locked="0"/>
    </xf>
    <xf numFmtId="9" fontId="0" fillId="0" borderId="10" xfId="0" applyNumberFormat="1" applyBorder="1"/>
    <xf numFmtId="9" fontId="0" fillId="0" borderId="10" xfId="2" applyFont="1" applyBorder="1"/>
    <xf numFmtId="9" fontId="9" fillId="0" borderId="10" xfId="2" applyFont="1" applyBorder="1"/>
    <xf numFmtId="9" fontId="15" fillId="6" borderId="0" xfId="0" applyNumberFormat="1" applyFont="1" applyFill="1"/>
    <xf numFmtId="43" fontId="0" fillId="6" borderId="2" xfId="1" applyFont="1" applyFill="1" applyBorder="1"/>
    <xf numFmtId="43" fontId="0" fillId="6" borderId="4" xfId="1" applyFont="1" applyFill="1" applyBorder="1"/>
    <xf numFmtId="0" fontId="2" fillId="6" borderId="0" xfId="0" applyFont="1" applyFill="1"/>
    <xf numFmtId="43" fontId="9" fillId="6" borderId="2" xfId="1" applyFont="1" applyFill="1" applyBorder="1" applyAlignment="1"/>
    <xf numFmtId="10" fontId="13" fillId="6" borderId="11" xfId="2" applyNumberFormat="1" applyFont="1" applyFill="1" applyBorder="1"/>
    <xf numFmtId="43" fontId="9" fillId="0" borderId="2" xfId="1" applyFont="1" applyFill="1" applyBorder="1" applyAlignment="1"/>
    <xf numFmtId="43" fontId="9" fillId="0" borderId="4" xfId="1" applyFont="1" applyFill="1" applyBorder="1" applyAlignment="1"/>
    <xf numFmtId="9" fontId="15" fillId="0" borderId="0" xfId="0" applyNumberFormat="1" applyFont="1" applyFill="1"/>
    <xf numFmtId="10" fontId="13" fillId="0" borderId="11" xfId="2" applyNumberFormat="1" applyFont="1" applyFill="1" applyBorder="1"/>
    <xf numFmtId="0" fontId="0" fillId="0" borderId="10" xfId="0" applyFill="1" applyBorder="1"/>
    <xf numFmtId="0" fontId="2" fillId="0" borderId="8" xfId="0" applyFont="1" applyFill="1" applyBorder="1" applyAlignment="1">
      <alignment horizontal="center"/>
    </xf>
    <xf numFmtId="0" fontId="0" fillId="0" borderId="9" xfId="0" applyFill="1" applyBorder="1"/>
    <xf numFmtId="43" fontId="9" fillId="0" borderId="4" xfId="1" applyFont="1" applyBorder="1" applyAlignment="1"/>
    <xf numFmtId="0" fontId="0" fillId="7" borderId="0" xfId="0" applyFill="1"/>
    <xf numFmtId="43" fontId="0" fillId="0" borderId="3" xfId="1" applyFont="1" applyFill="1" applyBorder="1"/>
    <xf numFmtId="43" fontId="0" fillId="0" borderId="5" xfId="1" applyFont="1" applyFill="1" applyBorder="1"/>
    <xf numFmtId="0" fontId="0" fillId="0" borderId="12" xfId="0" applyBorder="1"/>
    <xf numFmtId="0" fontId="8" fillId="0" borderId="3" xfId="0" applyFont="1" applyBorder="1" applyAlignment="1">
      <alignment horizontal="center" vertical="center" wrapText="1"/>
    </xf>
    <xf numFmtId="0" fontId="3" fillId="0" borderId="0" xfId="0" applyFont="1"/>
    <xf numFmtId="0" fontId="3" fillId="0" borderId="1" xfId="0" applyFont="1" applyBorder="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cellXfs>
  <cellStyles count="10">
    <cellStyle name="Calculation" xfId="5" builtinId="22"/>
    <cellStyle name="Comma" xfId="1" builtinId="3"/>
    <cellStyle name="Explanatory Text" xfId="8" builtinId="53"/>
    <cellStyle name="In sheet link" xfId="9"/>
    <cellStyle name="Input" xfId="3" builtinId="20"/>
    <cellStyle name="Linked Cell" xfId="6" builtinId="24" customBuiltin="1"/>
    <cellStyle name="Normal" xfId="0" builtinId="0"/>
    <cellStyle name="Note" xfId="7" builtinId="10" customBuiltin="1"/>
    <cellStyle name="Output" xfId="4" builtinId="2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33</xdr:row>
      <xdr:rowOff>152400</xdr:rowOff>
    </xdr:from>
    <xdr:to>
      <xdr:col>6</xdr:col>
      <xdr:colOff>2314575</xdr:colOff>
      <xdr:row>44</xdr:row>
      <xdr:rowOff>123825</xdr:rowOff>
    </xdr:to>
    <xdr:sp macro="" textlink="">
      <xdr:nvSpPr>
        <xdr:cNvPr id="1025" name="Text Box 1"/>
        <xdr:cNvSpPr txBox="1">
          <a:spLocks noChangeArrowheads="1"/>
        </xdr:cNvSpPr>
      </xdr:nvSpPr>
      <xdr:spPr bwMode="auto">
        <a:xfrm>
          <a:off x="657225" y="5391150"/>
          <a:ext cx="7439025" cy="1752600"/>
        </a:xfrm>
        <a:prstGeom prst="rect">
          <a:avLst/>
        </a:prstGeom>
        <a:solidFill>
          <a:srgbClr val="FFFF00"/>
        </a:solidFill>
        <a:ln w="57150" cmpd="thinThick">
          <a:solidFill>
            <a:srgbClr val="000000"/>
          </a:solidFill>
          <a:miter lim="800000"/>
          <a:headEnd/>
          <a:tailEnd/>
        </a:ln>
      </xdr:spPr>
      <xdr:txBody>
        <a:bodyPr vertOverflow="clip" wrap="square" lIns="91440" tIns="45720" rIns="91440" bIns="45720" anchor="ctr" anchorCtr="0" upright="1"/>
        <a:lstStyle/>
        <a:p>
          <a:pPr algn="l" rtl="0">
            <a:defRPr sz="1000"/>
          </a:pPr>
          <a:r>
            <a:rPr lang="en-US" sz="1000" b="1" i="0" u="sng" strike="noStrike">
              <a:solidFill>
                <a:srgbClr val="000000"/>
              </a:solidFill>
              <a:latin typeface="Arial"/>
              <a:cs typeface="Arial"/>
            </a:rPr>
            <a:t>DISCLAIMER:</a:t>
          </a:r>
          <a:r>
            <a:rPr lang="en-US" sz="1000" b="0" i="0" strike="noStrike">
              <a:solidFill>
                <a:srgbClr val="000000"/>
              </a:solidFill>
              <a:latin typeface="Arial"/>
              <a:cs typeface="Arial"/>
            </a:rPr>
            <a:t>  These calculations are presented for illustrative purposes only.  Actual tax withholdings and net pay may differ from the amounts shown in this planner.  Neither Washburn University nor any of its employees makes any representation or warranty, express or implied, as to the accuracy of the calculations herein or the planner's usefulness for any purpose.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Anyone relying on the results of the planner's calculation assumes all risks related to such reliance.  In no event will the University or any of its employees be held liable for the consequences of any such reliance.</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Employees of the University cannot provide tax advice to individuals.  If you have questions about your tax situation, consult with a tax professional.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58"/>
  <sheetViews>
    <sheetView showGridLines="0" showRowColHeaders="0" tabSelected="1" zoomScaleNormal="100" workbookViewId="0">
      <selection activeCell="B32" sqref="B32"/>
    </sheetView>
  </sheetViews>
  <sheetFormatPr defaultRowHeight="12.75" x14ac:dyDescent="0.2"/>
  <cols>
    <col min="2" max="2" width="29.85546875" customWidth="1"/>
    <col min="3" max="3" width="11.85546875" bestFit="1" customWidth="1"/>
    <col min="4" max="4" width="9.7109375" bestFit="1" customWidth="1"/>
    <col min="5" max="5" width="16.85546875" customWidth="1"/>
    <col min="6" max="6" width="11.28515625" bestFit="1" customWidth="1"/>
    <col min="7" max="7" width="35.42578125" bestFit="1" customWidth="1"/>
    <col min="8" max="9" width="13.5703125" style="36" bestFit="1" customWidth="1"/>
    <col min="10" max="11" width="9.140625" style="36"/>
  </cols>
  <sheetData>
    <row r="1" spans="2:7" ht="18.75" x14ac:dyDescent="0.3">
      <c r="B1" s="96" t="s">
        <v>0</v>
      </c>
      <c r="C1" s="96"/>
      <c r="D1" s="96"/>
      <c r="E1" s="96"/>
      <c r="F1" s="96"/>
      <c r="G1" s="96"/>
    </row>
    <row r="2" spans="2:7" ht="19.5" thickBot="1" x14ac:dyDescent="0.35">
      <c r="B2" s="97" t="s">
        <v>2</v>
      </c>
      <c r="C2" s="97"/>
      <c r="D2" s="97"/>
      <c r="E2" s="97"/>
      <c r="F2" s="97"/>
      <c r="G2" s="97"/>
    </row>
    <row r="3" spans="2:7" x14ac:dyDescent="0.2">
      <c r="G3" s="37" t="s">
        <v>158</v>
      </c>
    </row>
    <row r="4" spans="2:7" x14ac:dyDescent="0.2">
      <c r="B4" s="2" t="s">
        <v>4</v>
      </c>
    </row>
    <row r="5" spans="2:7" x14ac:dyDescent="0.2">
      <c r="B5" t="s">
        <v>114</v>
      </c>
      <c r="C5" s="24"/>
      <c r="E5" s="11" t="s">
        <v>21</v>
      </c>
      <c r="G5" t="s">
        <v>22</v>
      </c>
    </row>
    <row r="6" spans="2:7" x14ac:dyDescent="0.2">
      <c r="B6" s="3" t="s">
        <v>113</v>
      </c>
      <c r="E6" s="3" t="s">
        <v>33</v>
      </c>
      <c r="F6" s="25"/>
      <c r="G6" t="s">
        <v>23</v>
      </c>
    </row>
    <row r="7" spans="2:7" x14ac:dyDescent="0.2">
      <c r="B7" s="11" t="s">
        <v>6</v>
      </c>
      <c r="C7" s="5"/>
      <c r="E7" s="3" t="s">
        <v>34</v>
      </c>
      <c r="F7" s="25"/>
      <c r="G7" t="s">
        <v>24</v>
      </c>
    </row>
    <row r="8" spans="2:7" x14ac:dyDescent="0.2">
      <c r="B8" s="3" t="s">
        <v>157</v>
      </c>
      <c r="C8" s="24"/>
      <c r="G8" t="s">
        <v>25</v>
      </c>
    </row>
    <row r="9" spans="2:7" x14ac:dyDescent="0.2">
      <c r="B9" s="3" t="s">
        <v>154</v>
      </c>
      <c r="C9" s="24"/>
      <c r="E9" s="11" t="s">
        <v>26</v>
      </c>
    </row>
    <row r="10" spans="2:7" x14ac:dyDescent="0.2">
      <c r="B10" s="3" t="s">
        <v>155</v>
      </c>
      <c r="C10" s="24">
        <v>0</v>
      </c>
      <c r="E10" s="3" t="s">
        <v>33</v>
      </c>
      <c r="F10" s="26">
        <v>0</v>
      </c>
    </row>
    <row r="11" spans="2:7" x14ac:dyDescent="0.2">
      <c r="C11" s="5"/>
      <c r="E11" s="3" t="s">
        <v>34</v>
      </c>
      <c r="F11" s="26">
        <v>0</v>
      </c>
    </row>
    <row r="12" spans="2:7" x14ac:dyDescent="0.2">
      <c r="B12" s="6" t="s">
        <v>5</v>
      </c>
      <c r="C12" s="7">
        <f>C5-C8-C9-C10</f>
        <v>0</v>
      </c>
    </row>
    <row r="13" spans="2:7" x14ac:dyDescent="0.2">
      <c r="B13" s="4"/>
      <c r="C13" s="5"/>
      <c r="E13" s="11" t="s">
        <v>27</v>
      </c>
      <c r="F13" s="73"/>
      <c r="G13" t="s">
        <v>78</v>
      </c>
    </row>
    <row r="14" spans="2:7" x14ac:dyDescent="0.2">
      <c r="B14" s="11" t="s">
        <v>3</v>
      </c>
      <c r="C14" s="5"/>
      <c r="E14" s="11" t="s">
        <v>69</v>
      </c>
      <c r="F14" s="27"/>
      <c r="G14" t="s">
        <v>70</v>
      </c>
    </row>
    <row r="15" spans="2:7" x14ac:dyDescent="0.2">
      <c r="B15" s="3" t="s">
        <v>7</v>
      </c>
      <c r="C15" s="60">
        <f>ROUND((Gross_pay+PPO)*Req_403b,2)</f>
        <v>0</v>
      </c>
    </row>
    <row r="16" spans="2:7" x14ac:dyDescent="0.2">
      <c r="B16" s="3" t="s">
        <v>8</v>
      </c>
      <c r="C16" s="24">
        <v>0</v>
      </c>
      <c r="E16" s="95" t="s">
        <v>35</v>
      </c>
      <c r="F16" s="24">
        <v>0</v>
      </c>
      <c r="G16" t="s">
        <v>33</v>
      </c>
    </row>
    <row r="17" spans="2:9" x14ac:dyDescent="0.2">
      <c r="B17" s="3" t="s">
        <v>9</v>
      </c>
      <c r="C17" s="24">
        <v>0</v>
      </c>
      <c r="E17" s="95"/>
      <c r="F17" s="24">
        <v>0</v>
      </c>
      <c r="G17" t="s">
        <v>34</v>
      </c>
    </row>
    <row r="18" spans="2:9" x14ac:dyDescent="0.2">
      <c r="C18" s="5"/>
      <c r="I18" s="39"/>
    </row>
    <row r="19" spans="2:9" ht="15" x14ac:dyDescent="0.35">
      <c r="B19" s="6" t="s">
        <v>19</v>
      </c>
      <c r="C19" s="8">
        <f>C12-C15-C16-C17</f>
        <v>0</v>
      </c>
      <c r="E19" s="11" t="s">
        <v>64</v>
      </c>
      <c r="I19" s="39"/>
    </row>
    <row r="20" spans="2:9" x14ac:dyDescent="0.2">
      <c r="C20" s="5"/>
      <c r="E20" s="3" t="s">
        <v>58</v>
      </c>
      <c r="F20" s="24"/>
      <c r="G20" t="s">
        <v>61</v>
      </c>
      <c r="I20" s="39"/>
    </row>
    <row r="21" spans="2:9" x14ac:dyDescent="0.2">
      <c r="B21" s="11" t="s">
        <v>10</v>
      </c>
      <c r="E21" s="28" t="s">
        <v>63</v>
      </c>
      <c r="F21" s="24"/>
      <c r="G21" s="29" t="s">
        <v>145</v>
      </c>
      <c r="I21" s="39"/>
    </row>
    <row r="22" spans="2:9" x14ac:dyDescent="0.2">
      <c r="B22" s="3" t="s">
        <v>11</v>
      </c>
      <c r="C22" s="24">
        <v>0</v>
      </c>
      <c r="E22" s="3" t="s">
        <v>60</v>
      </c>
      <c r="F22" s="24"/>
      <c r="G22" t="s">
        <v>66</v>
      </c>
    </row>
    <row r="23" spans="2:9" x14ac:dyDescent="0.2">
      <c r="B23" s="3" t="s">
        <v>12</v>
      </c>
      <c r="C23" s="24">
        <v>0</v>
      </c>
      <c r="E23" s="3" t="s">
        <v>59</v>
      </c>
      <c r="F23" s="24"/>
      <c r="G23" t="s">
        <v>62</v>
      </c>
      <c r="I23" s="39"/>
    </row>
    <row r="24" spans="2:9" x14ac:dyDescent="0.2">
      <c r="B24" s="3" t="s">
        <v>156</v>
      </c>
      <c r="C24" s="24">
        <v>0</v>
      </c>
      <c r="I24" s="39"/>
    </row>
    <row r="25" spans="2:9" x14ac:dyDescent="0.2">
      <c r="B25" s="3" t="s">
        <v>13</v>
      </c>
      <c r="C25" s="24">
        <v>0</v>
      </c>
      <c r="E25" s="11" t="s">
        <v>111</v>
      </c>
      <c r="F25" s="59"/>
      <c r="G25" t="s">
        <v>112</v>
      </c>
      <c r="I25" s="39"/>
    </row>
    <row r="26" spans="2:9" x14ac:dyDescent="0.2">
      <c r="B26" s="3" t="s">
        <v>14</v>
      </c>
      <c r="C26" s="24">
        <v>0</v>
      </c>
      <c r="I26" s="39"/>
    </row>
    <row r="27" spans="2:9" x14ac:dyDescent="0.2">
      <c r="B27" s="3" t="s">
        <v>15</v>
      </c>
      <c r="C27" s="24">
        <v>0</v>
      </c>
      <c r="E27" s="2" t="s">
        <v>38</v>
      </c>
      <c r="I27" s="39"/>
    </row>
    <row r="28" spans="2:9" x14ac:dyDescent="0.2">
      <c r="B28" s="3" t="s">
        <v>16</v>
      </c>
      <c r="C28" s="24">
        <v>0</v>
      </c>
      <c r="E28" t="s">
        <v>36</v>
      </c>
      <c r="F28" s="13">
        <f>IF(UPPER(F14)="Y",0,7.65%)</f>
        <v>7.6499999999999999E-2</v>
      </c>
      <c r="G28" s="36" t="s">
        <v>37</v>
      </c>
      <c r="I28" s="39"/>
    </row>
    <row r="29" spans="2:9" x14ac:dyDescent="0.2">
      <c r="B29" s="3" t="s">
        <v>17</v>
      </c>
      <c r="C29" s="24">
        <v>0</v>
      </c>
      <c r="E29" t="s">
        <v>39</v>
      </c>
      <c r="F29" s="12" t="s">
        <v>40</v>
      </c>
      <c r="G29" s="36"/>
      <c r="I29" s="39"/>
    </row>
    <row r="30" spans="2:9" x14ac:dyDescent="0.2">
      <c r="B30" s="3" t="s">
        <v>18</v>
      </c>
      <c r="C30" s="24">
        <v>0</v>
      </c>
      <c r="E30" t="s">
        <v>50</v>
      </c>
      <c r="F30" s="14">
        <v>161.5</v>
      </c>
      <c r="G30" s="36" t="s">
        <v>68</v>
      </c>
      <c r="I30" s="39"/>
    </row>
    <row r="31" spans="2:9" x14ac:dyDescent="0.2">
      <c r="F31" s="14">
        <v>350</v>
      </c>
      <c r="G31" s="36" t="s">
        <v>71</v>
      </c>
      <c r="I31" s="39"/>
    </row>
    <row r="32" spans="2:9" ht="15" x14ac:dyDescent="0.35">
      <c r="B32" s="4" t="s">
        <v>20</v>
      </c>
      <c r="C32" s="8">
        <f>SUM(C22:C30)</f>
        <v>0</v>
      </c>
      <c r="F32" s="14">
        <v>4200</v>
      </c>
      <c r="G32" s="36" t="s">
        <v>81</v>
      </c>
    </row>
    <row r="33" spans="2:7" ht="15" x14ac:dyDescent="0.35">
      <c r="B33" s="4"/>
      <c r="C33" s="8"/>
      <c r="E33" t="s">
        <v>51</v>
      </c>
      <c r="F33" s="14">
        <v>2250</v>
      </c>
      <c r="G33" t="s">
        <v>47</v>
      </c>
    </row>
    <row r="47" spans="2:7" x14ac:dyDescent="0.2">
      <c r="B47" s="2" t="s">
        <v>57</v>
      </c>
      <c r="D47" s="36"/>
      <c r="E47" s="36"/>
      <c r="F47" s="36"/>
      <c r="G47" s="36"/>
    </row>
    <row r="48" spans="2:7" x14ac:dyDescent="0.2">
      <c r="B48" t="s">
        <v>1</v>
      </c>
      <c r="C48" s="5">
        <f>Gross_pay+PPO+SUP+SSP</f>
        <v>0</v>
      </c>
      <c r="D48" s="36"/>
      <c r="E48" s="39"/>
      <c r="F48" s="36"/>
      <c r="G48" s="36"/>
    </row>
    <row r="49" spans="2:7" x14ac:dyDescent="0.2">
      <c r="B49" t="s">
        <v>28</v>
      </c>
      <c r="C49" s="5">
        <f>-Calculations!B15</f>
        <v>0</v>
      </c>
      <c r="D49" s="39"/>
      <c r="E49" s="39"/>
      <c r="F49" s="36"/>
      <c r="G49" s="36"/>
    </row>
    <row r="50" spans="2:7" x14ac:dyDescent="0.2">
      <c r="B50" t="s">
        <v>29</v>
      </c>
      <c r="C50" s="5"/>
      <c r="D50" s="39"/>
      <c r="E50" s="39"/>
      <c r="F50" s="36"/>
      <c r="G50" s="36"/>
    </row>
    <row r="51" spans="2:7" x14ac:dyDescent="0.2">
      <c r="B51" s="3" t="s">
        <v>33</v>
      </c>
      <c r="C51" s="5">
        <f>-Calculations!B59</f>
        <v>0</v>
      </c>
      <c r="D51" s="39"/>
      <c r="E51" s="39"/>
      <c r="F51" s="36"/>
      <c r="G51" s="36"/>
    </row>
    <row r="52" spans="2:7" x14ac:dyDescent="0.2">
      <c r="B52" s="3" t="s">
        <v>34</v>
      </c>
      <c r="C52" s="5">
        <f>-Calculations!B104</f>
        <v>0</v>
      </c>
      <c r="D52" s="39"/>
      <c r="E52" s="39"/>
      <c r="F52" s="36"/>
      <c r="G52" s="36"/>
    </row>
    <row r="53" spans="2:7" ht="15" customHeight="1" x14ac:dyDescent="0.2">
      <c r="B53" t="s">
        <v>30</v>
      </c>
      <c r="C53" s="5">
        <f>-SUM(C8:C10)-SUM(C15:C17)</f>
        <v>0</v>
      </c>
      <c r="D53" s="39"/>
      <c r="E53" s="39"/>
      <c r="F53" s="36"/>
      <c r="G53" s="36"/>
    </row>
    <row r="54" spans="2:7" ht="15" x14ac:dyDescent="0.35">
      <c r="B54" t="s">
        <v>31</v>
      </c>
      <c r="C54" s="10">
        <f>-C32</f>
        <v>0</v>
      </c>
      <c r="D54" s="39"/>
      <c r="E54" s="39"/>
      <c r="F54" s="36"/>
      <c r="G54" s="36"/>
    </row>
    <row r="55" spans="2:7" x14ac:dyDescent="0.2">
      <c r="C55" s="5"/>
      <c r="D55" s="36"/>
      <c r="E55" s="39"/>
      <c r="F55" s="36"/>
      <c r="G55" s="36"/>
    </row>
    <row r="56" spans="2:7" ht="15" x14ac:dyDescent="0.35">
      <c r="B56" s="1" t="s">
        <v>32</v>
      </c>
      <c r="C56" s="8">
        <f>SUM(C48:C54)</f>
        <v>0</v>
      </c>
      <c r="D56" s="36"/>
      <c r="E56" s="39"/>
      <c r="F56" s="36"/>
      <c r="G56" s="36"/>
    </row>
    <row r="57" spans="2:7" x14ac:dyDescent="0.2">
      <c r="D57" s="36"/>
      <c r="E57" s="36"/>
      <c r="F57" s="36"/>
      <c r="G57" s="36"/>
    </row>
    <row r="58" spans="2:7" x14ac:dyDescent="0.2">
      <c r="D58" s="36"/>
      <c r="E58" s="36"/>
      <c r="F58" s="36"/>
      <c r="G58" s="36"/>
    </row>
  </sheetData>
  <sheetProtection selectLockedCells="1"/>
  <mergeCells count="3">
    <mergeCell ref="E16:E17"/>
    <mergeCell ref="B1:G1"/>
    <mergeCell ref="B2:G2"/>
  </mergeCells>
  <phoneticPr fontId="6" type="noConversion"/>
  <dataValidations count="2">
    <dataValidation type="list" allowBlank="1" showDropDown="1" showInputMessage="1" showErrorMessage="1" sqref="F13">
      <formula1>"MN,BW,1T,mn,bw,1t"</formula1>
    </dataValidation>
    <dataValidation type="list" allowBlank="1" showDropDown="1" showInputMessage="1" showErrorMessage="1" sqref="F6:F7">
      <formula1>"S,s,HH,hh,M,m,MS,ms"</formula1>
    </dataValidation>
  </dataValidations>
  <pageMargins left="0.5" right="0.5" top="0.5" bottom="0.75" header="0.5" footer="0.5"/>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4"/>
  <sheetViews>
    <sheetView topLeftCell="A9" workbookViewId="0">
      <selection activeCell="F5" sqref="F5"/>
    </sheetView>
  </sheetViews>
  <sheetFormatPr defaultRowHeight="12.75" x14ac:dyDescent="0.2"/>
  <cols>
    <col min="1" max="1" width="43" bestFit="1" customWidth="1"/>
    <col min="2" max="2" width="11.28515625" style="5" bestFit="1" customWidth="1"/>
    <col min="3" max="3" width="9.140625" style="5"/>
    <col min="6" max="6" width="11.28515625" bestFit="1" customWidth="1"/>
  </cols>
  <sheetData>
    <row r="1" spans="1:7" ht="18" x14ac:dyDescent="0.25">
      <c r="A1" s="38" t="s">
        <v>83</v>
      </c>
    </row>
    <row r="2" spans="1:7" x14ac:dyDescent="0.2">
      <c r="D2" s="80" t="s">
        <v>153</v>
      </c>
      <c r="E2" s="80"/>
      <c r="F2" s="80"/>
      <c r="G2" s="80"/>
    </row>
    <row r="3" spans="1:7" x14ac:dyDescent="0.2">
      <c r="A3" s="40" t="s">
        <v>84</v>
      </c>
    </row>
    <row r="4" spans="1:7" x14ac:dyDescent="0.2">
      <c r="A4" s="3" t="s">
        <v>86</v>
      </c>
      <c r="B4" s="44">
        <f>FICA_pay</f>
        <v>0</v>
      </c>
      <c r="D4" t="s">
        <v>147</v>
      </c>
      <c r="F4" s="69">
        <v>132900</v>
      </c>
    </row>
    <row r="5" spans="1:7" x14ac:dyDescent="0.2">
      <c r="A5" s="3" t="s">
        <v>85</v>
      </c>
      <c r="B5" s="44">
        <f>PPO</f>
        <v>0</v>
      </c>
      <c r="D5" t="s">
        <v>149</v>
      </c>
      <c r="F5" s="70">
        <v>6.2E-2</v>
      </c>
    </row>
    <row r="6" spans="1:7" x14ac:dyDescent="0.2">
      <c r="A6" s="3" t="s">
        <v>87</v>
      </c>
      <c r="B6" s="44">
        <f>SUP</f>
        <v>0</v>
      </c>
      <c r="D6" t="s">
        <v>150</v>
      </c>
      <c r="F6" s="45">
        <f>F4*F5</f>
        <v>8239.7999999999993</v>
      </c>
    </row>
    <row r="7" spans="1:7" x14ac:dyDescent="0.2">
      <c r="A7" s="3" t="s">
        <v>88</v>
      </c>
      <c r="B7" s="44">
        <f>SSP</f>
        <v>0</v>
      </c>
      <c r="D7" s="3" t="s">
        <v>36</v>
      </c>
      <c r="F7" s="46">
        <f>FICA_rate</f>
        <v>7.6499999999999999E-2</v>
      </c>
    </row>
    <row r="8" spans="1:7" x14ac:dyDescent="0.2">
      <c r="A8" s="41" t="s">
        <v>89</v>
      </c>
      <c r="B8" s="45">
        <f>SUM(B4:B7)</f>
        <v>0</v>
      </c>
      <c r="D8" t="s">
        <v>148</v>
      </c>
      <c r="F8" s="70">
        <v>1.4500000000000001E-2</v>
      </c>
    </row>
    <row r="9" spans="1:7" x14ac:dyDescent="0.2">
      <c r="A9" s="3" t="s">
        <v>144</v>
      </c>
      <c r="B9" s="44">
        <f>YTD_PPO</f>
        <v>0</v>
      </c>
    </row>
    <row r="10" spans="1:7" x14ac:dyDescent="0.2">
      <c r="A10" s="41" t="s">
        <v>146</v>
      </c>
      <c r="B10" s="45">
        <f>B8+B9</f>
        <v>0</v>
      </c>
    </row>
    <row r="11" spans="1:7" x14ac:dyDescent="0.2">
      <c r="A11" s="3" t="s">
        <v>152</v>
      </c>
      <c r="B11" s="72">
        <f>IF(B10&lt;=F4,B10*F7,F6+(B10*F8))</f>
        <v>0</v>
      </c>
    </row>
    <row r="12" spans="1:7" x14ac:dyDescent="0.2">
      <c r="A12" s="41"/>
    </row>
    <row r="13" spans="1:7" x14ac:dyDescent="0.2">
      <c r="A13" s="3" t="s">
        <v>151</v>
      </c>
      <c r="B13" s="45">
        <f>IF(B10&lt;=200000,0,(B10-200000)*0.9%)</f>
        <v>0</v>
      </c>
    </row>
    <row r="15" spans="1:7" x14ac:dyDescent="0.2">
      <c r="A15" s="42" t="s">
        <v>90</v>
      </c>
      <c r="B15" s="72">
        <f>B11+B13</f>
        <v>0</v>
      </c>
      <c r="C15" s="71"/>
    </row>
    <row r="17" spans="1:5" x14ac:dyDescent="0.2">
      <c r="A17" s="40" t="s">
        <v>91</v>
      </c>
    </row>
    <row r="18" spans="1:5" x14ac:dyDescent="0.2">
      <c r="A18" s="65" t="s">
        <v>121</v>
      </c>
    </row>
    <row r="19" spans="1:5" x14ac:dyDescent="0.2">
      <c r="A19" s="3" t="s">
        <v>92</v>
      </c>
      <c r="B19" s="44">
        <f>MAX(0,Inc_tax_pay)</f>
        <v>0</v>
      </c>
    </row>
    <row r="20" spans="1:5" x14ac:dyDescent="0.2">
      <c r="A20" s="3" t="s">
        <v>85</v>
      </c>
      <c r="B20" s="44">
        <f>PPO</f>
        <v>0</v>
      </c>
    </row>
    <row r="21" spans="1:5" x14ac:dyDescent="0.2">
      <c r="A21" s="41" t="s">
        <v>118</v>
      </c>
      <c r="B21" s="45">
        <f>SUM(B19:B20)</f>
        <v>0</v>
      </c>
    </row>
    <row r="22" spans="1:5" x14ac:dyDescent="0.2">
      <c r="A22" s="3" t="s">
        <v>26</v>
      </c>
      <c r="C22" s="49">
        <f>Allowances</f>
        <v>0</v>
      </c>
    </row>
    <row r="23" spans="1:5" x14ac:dyDescent="0.2">
      <c r="A23" s="3" t="s">
        <v>27</v>
      </c>
      <c r="C23" s="50">
        <f>Frequency</f>
        <v>0</v>
      </c>
    </row>
    <row r="24" spans="1:5" x14ac:dyDescent="0.2">
      <c r="A24" s="3" t="s">
        <v>117</v>
      </c>
      <c r="C24" s="45">
        <f>IF(C23="BW",BW_allow,MN_allowance)</f>
        <v>350</v>
      </c>
    </row>
    <row r="25" spans="1:5" x14ac:dyDescent="0.2">
      <c r="A25" s="41" t="s">
        <v>94</v>
      </c>
      <c r="B25" s="45">
        <f>C22*C24</f>
        <v>0</v>
      </c>
    </row>
    <row r="26" spans="1:5" x14ac:dyDescent="0.2">
      <c r="A26" s="3" t="s">
        <v>95</v>
      </c>
      <c r="B26" s="51">
        <f>MAX(0,B21-B25)</f>
        <v>0</v>
      </c>
    </row>
    <row r="27" spans="1:5" x14ac:dyDescent="0.2">
      <c r="A27" s="3" t="s">
        <v>96</v>
      </c>
      <c r="B27" s="45">
        <f>ROUND(VLOOKUP(B26,CHOOSE(Fed_index,SBW,MBW,SMN,MMN,S1T,M1T),2),2)</f>
        <v>0</v>
      </c>
    </row>
    <row r="28" spans="1:5" x14ac:dyDescent="0.2">
      <c r="A28" s="3" t="s">
        <v>97</v>
      </c>
      <c r="B28" s="44">
        <f>Addl_Fed</f>
        <v>0</v>
      </c>
      <c r="E28" s="39"/>
    </row>
    <row r="29" spans="1:5" x14ac:dyDescent="0.2">
      <c r="A29" s="43" t="s">
        <v>119</v>
      </c>
      <c r="B29" s="48">
        <f>IF(ISNA(SUM(B27:B28)),0,SUM(B27:B28))</f>
        <v>0</v>
      </c>
    </row>
    <row r="30" spans="1:5" x14ac:dyDescent="0.2">
      <c r="A30" s="43"/>
    </row>
    <row r="31" spans="1:5" x14ac:dyDescent="0.2">
      <c r="A31" s="65" t="s">
        <v>59</v>
      </c>
    </row>
    <row r="32" spans="1:5" x14ac:dyDescent="0.2">
      <c r="A32" s="52" t="s">
        <v>99</v>
      </c>
      <c r="B32" s="44">
        <f>SUP-IF(Inc_tax_pay&lt;=0,SUM(Planner!C16:C17),0)</f>
        <v>0</v>
      </c>
    </row>
    <row r="33" spans="1:7" x14ac:dyDescent="0.2">
      <c r="A33" s="52" t="s">
        <v>100</v>
      </c>
      <c r="B33" s="53">
        <v>0.25</v>
      </c>
    </row>
    <row r="34" spans="1:7" x14ac:dyDescent="0.2">
      <c r="A34" s="43" t="s">
        <v>120</v>
      </c>
      <c r="B34" s="48">
        <f>B32*B33</f>
        <v>0</v>
      </c>
    </row>
    <row r="35" spans="1:7" x14ac:dyDescent="0.2">
      <c r="A35" s="43"/>
    </row>
    <row r="36" spans="1:7" x14ac:dyDescent="0.2">
      <c r="A36" s="65" t="s">
        <v>60</v>
      </c>
    </row>
    <row r="37" spans="1:7" x14ac:dyDescent="0.2">
      <c r="A37" s="66" t="s">
        <v>122</v>
      </c>
    </row>
    <row r="38" spans="1:7" x14ac:dyDescent="0.2">
      <c r="A38" s="41" t="s">
        <v>92</v>
      </c>
      <c r="B38" s="68">
        <f>B19</f>
        <v>0</v>
      </c>
    </row>
    <row r="39" spans="1:7" x14ac:dyDescent="0.2">
      <c r="A39" s="41" t="s">
        <v>85</v>
      </c>
      <c r="B39" s="68">
        <f>B20</f>
        <v>0</v>
      </c>
    </row>
    <row r="40" spans="1:7" x14ac:dyDescent="0.2">
      <c r="A40" s="41" t="s">
        <v>123</v>
      </c>
      <c r="B40" s="44">
        <f>SSP+IF(Inc_tax_pay&lt;0,Inc_tax_pay,0)</f>
        <v>0</v>
      </c>
    </row>
    <row r="41" spans="1:7" x14ac:dyDescent="0.2">
      <c r="A41" s="67" t="s">
        <v>124</v>
      </c>
      <c r="B41" s="45">
        <f>SUM(B38:B40)</f>
        <v>0</v>
      </c>
    </row>
    <row r="42" spans="1:7" x14ac:dyDescent="0.2">
      <c r="A42" s="41" t="s">
        <v>26</v>
      </c>
      <c r="C42" s="49">
        <f>Allowances</f>
        <v>0</v>
      </c>
    </row>
    <row r="43" spans="1:7" x14ac:dyDescent="0.2">
      <c r="A43" s="41" t="s">
        <v>27</v>
      </c>
      <c r="C43" s="50">
        <f>Frequency</f>
        <v>0</v>
      </c>
    </row>
    <row r="44" spans="1:7" x14ac:dyDescent="0.2">
      <c r="A44" s="41" t="s">
        <v>117</v>
      </c>
      <c r="C44" s="45">
        <f>IF(C43="BW",BW_allow,MN_allowance)</f>
        <v>350</v>
      </c>
    </row>
    <row r="45" spans="1:7" x14ac:dyDescent="0.2">
      <c r="A45" s="67" t="s">
        <v>94</v>
      </c>
      <c r="B45" s="45">
        <f>C42*C44</f>
        <v>0</v>
      </c>
    </row>
    <row r="46" spans="1:7" x14ac:dyDescent="0.2">
      <c r="A46" s="41" t="s">
        <v>95</v>
      </c>
      <c r="B46" s="51">
        <f>B41-B45</f>
        <v>0</v>
      </c>
    </row>
    <row r="47" spans="1:7" x14ac:dyDescent="0.2">
      <c r="A47" s="41" t="s">
        <v>96</v>
      </c>
      <c r="B47" s="45" t="e">
        <f>ROUND(VLOOKUP(B46,CHOOSE(Fed_index,PSBW,PMBW,PSMN,PMMN,PS1T,PM1T),2),2)</f>
        <v>#N/A</v>
      </c>
      <c r="G47" s="64"/>
    </row>
    <row r="48" spans="1:7" x14ac:dyDescent="0.2">
      <c r="A48" s="41" t="s">
        <v>97</v>
      </c>
      <c r="B48" s="44">
        <f>Addl_Fed</f>
        <v>0</v>
      </c>
      <c r="F48" s="63"/>
    </row>
    <row r="49" spans="1:7" x14ac:dyDescent="0.2">
      <c r="A49" s="43" t="s">
        <v>125</v>
      </c>
      <c r="B49" s="45">
        <f>IF(ISNA(SUM(B47:B48)),0,SUM(B47:B48))</f>
        <v>0</v>
      </c>
    </row>
    <row r="50" spans="1:7" x14ac:dyDescent="0.2">
      <c r="A50" s="52" t="s">
        <v>126</v>
      </c>
      <c r="B50" s="68">
        <f>-B29</f>
        <v>0</v>
      </c>
    </row>
    <row r="51" spans="1:7" x14ac:dyDescent="0.2">
      <c r="A51" s="43" t="s">
        <v>115</v>
      </c>
      <c r="B51" s="48">
        <f>B49+B50</f>
        <v>0</v>
      </c>
    </row>
    <row r="53" spans="1:7" x14ac:dyDescent="0.2">
      <c r="A53" s="3" t="s">
        <v>101</v>
      </c>
      <c r="B53" s="44">
        <v>0</v>
      </c>
      <c r="C53" s="47" t="s">
        <v>127</v>
      </c>
    </row>
    <row r="54" spans="1:7" x14ac:dyDescent="0.2">
      <c r="A54" s="52" t="s">
        <v>102</v>
      </c>
      <c r="B54" s="54">
        <v>0</v>
      </c>
      <c r="C54" s="47" t="s">
        <v>127</v>
      </c>
      <c r="G54" s="57"/>
    </row>
    <row r="55" spans="1:7" x14ac:dyDescent="0.2">
      <c r="A55" s="52" t="s">
        <v>103</v>
      </c>
      <c r="B55" s="45">
        <f>SUM(B53:B54)</f>
        <v>0</v>
      </c>
    </row>
    <row r="56" spans="1:7" x14ac:dyDescent="0.2">
      <c r="A56" s="52" t="s">
        <v>104</v>
      </c>
      <c r="B56" s="55">
        <v>0</v>
      </c>
    </row>
    <row r="57" spans="1:7" x14ac:dyDescent="0.2">
      <c r="A57" s="43" t="s">
        <v>105</v>
      </c>
      <c r="B57" s="48">
        <f>ROUND(B53*B56,2)</f>
        <v>0</v>
      </c>
    </row>
    <row r="59" spans="1:7" x14ac:dyDescent="0.2">
      <c r="A59" s="42" t="s">
        <v>98</v>
      </c>
      <c r="B59" s="48">
        <f>B29+B34+B51+B57</f>
        <v>0</v>
      </c>
    </row>
    <row r="61" spans="1:7" x14ac:dyDescent="0.2">
      <c r="A61" s="40" t="s">
        <v>106</v>
      </c>
    </row>
    <row r="62" spans="1:7" x14ac:dyDescent="0.2">
      <c r="A62" s="65" t="s">
        <v>121</v>
      </c>
    </row>
    <row r="63" spans="1:7" x14ac:dyDescent="0.2">
      <c r="A63" s="3" t="s">
        <v>92</v>
      </c>
      <c r="B63" s="44">
        <f>Inc_tax_pay</f>
        <v>0</v>
      </c>
    </row>
    <row r="64" spans="1:7" x14ac:dyDescent="0.2">
      <c r="A64" s="3" t="s">
        <v>85</v>
      </c>
      <c r="B64" s="44">
        <f>PPO</f>
        <v>0</v>
      </c>
    </row>
    <row r="65" spans="1:3" x14ac:dyDescent="0.2">
      <c r="A65" s="41" t="s">
        <v>118</v>
      </c>
      <c r="B65" s="45">
        <f>SUM(B63:B64)</f>
        <v>0</v>
      </c>
    </row>
    <row r="66" spans="1:3" x14ac:dyDescent="0.2">
      <c r="A66" s="3" t="s">
        <v>26</v>
      </c>
      <c r="C66" s="49">
        <f>State_allowances</f>
        <v>0</v>
      </c>
    </row>
    <row r="67" spans="1:3" x14ac:dyDescent="0.2">
      <c r="A67" s="3" t="s">
        <v>27</v>
      </c>
      <c r="C67" s="50">
        <f>Frequency</f>
        <v>0</v>
      </c>
    </row>
    <row r="68" spans="1:3" x14ac:dyDescent="0.2">
      <c r="A68" s="3" t="s">
        <v>107</v>
      </c>
      <c r="C68" s="56">
        <f>IF(C67="BW",26,12)</f>
        <v>12</v>
      </c>
    </row>
    <row r="69" spans="1:3" x14ac:dyDescent="0.2">
      <c r="A69" s="3" t="s">
        <v>93</v>
      </c>
      <c r="C69" s="58">
        <f>State_allow</f>
        <v>2250</v>
      </c>
    </row>
    <row r="70" spans="1:3" x14ac:dyDescent="0.2">
      <c r="A70" s="41" t="s">
        <v>94</v>
      </c>
      <c r="B70" s="45">
        <f>(C69/C68)*C66</f>
        <v>0</v>
      </c>
    </row>
    <row r="71" spans="1:3" x14ac:dyDescent="0.2">
      <c r="A71" s="3" t="s">
        <v>95</v>
      </c>
      <c r="B71" s="51">
        <f>B65-B70</f>
        <v>0</v>
      </c>
    </row>
    <row r="72" spans="1:3" x14ac:dyDescent="0.2">
      <c r="A72" s="3" t="s">
        <v>96</v>
      </c>
      <c r="B72" s="45">
        <f>ROUND(VLOOKUP(B71,CHOOSE(KS_index,KSBW,KMBW,KSMN,KMMN,KS1T,KM1T),2),2)</f>
        <v>0</v>
      </c>
    </row>
    <row r="73" spans="1:3" x14ac:dyDescent="0.2">
      <c r="A73" s="3" t="s">
        <v>108</v>
      </c>
      <c r="B73" s="44">
        <f>Addl_state</f>
        <v>0</v>
      </c>
    </row>
    <row r="74" spans="1:3" x14ac:dyDescent="0.2">
      <c r="A74" s="43" t="s">
        <v>128</v>
      </c>
      <c r="B74" s="48">
        <f>SUM(B72:B73)</f>
        <v>0</v>
      </c>
    </row>
    <row r="76" spans="1:3" x14ac:dyDescent="0.2">
      <c r="A76" s="65" t="s">
        <v>59</v>
      </c>
    </row>
    <row r="77" spans="1:3" x14ac:dyDescent="0.2">
      <c r="A77" s="52" t="s">
        <v>99</v>
      </c>
      <c r="B77" s="44">
        <f>SUP</f>
        <v>0</v>
      </c>
    </row>
    <row r="78" spans="1:3" x14ac:dyDescent="0.2">
      <c r="A78" s="52" t="s">
        <v>100</v>
      </c>
      <c r="B78" s="62">
        <v>0.05</v>
      </c>
    </row>
    <row r="79" spans="1:3" x14ac:dyDescent="0.2">
      <c r="A79" s="43" t="s">
        <v>129</v>
      </c>
      <c r="B79" s="48">
        <f>B77*B78</f>
        <v>0</v>
      </c>
    </row>
    <row r="81" spans="1:7" x14ac:dyDescent="0.2">
      <c r="A81" s="65" t="s">
        <v>60</v>
      </c>
    </row>
    <row r="82" spans="1:7" x14ac:dyDescent="0.2">
      <c r="A82" s="66" t="s">
        <v>122</v>
      </c>
    </row>
    <row r="83" spans="1:7" x14ac:dyDescent="0.2">
      <c r="A83" s="41" t="s">
        <v>92</v>
      </c>
      <c r="B83" s="68">
        <f>B63</f>
        <v>0</v>
      </c>
    </row>
    <row r="84" spans="1:7" x14ac:dyDescent="0.2">
      <c r="A84" s="41" t="s">
        <v>85</v>
      </c>
      <c r="B84" s="68">
        <f>B64</f>
        <v>0</v>
      </c>
    </row>
    <row r="85" spans="1:7" x14ac:dyDescent="0.2">
      <c r="A85" s="41" t="s">
        <v>123</v>
      </c>
      <c r="B85" s="44">
        <f>SSP</f>
        <v>0</v>
      </c>
    </row>
    <row r="86" spans="1:7" x14ac:dyDescent="0.2">
      <c r="A86" s="67" t="s">
        <v>124</v>
      </c>
      <c r="B86" s="45">
        <f>SUM(B83:B85)</f>
        <v>0</v>
      </c>
    </row>
    <row r="87" spans="1:7" x14ac:dyDescent="0.2">
      <c r="A87" s="41" t="s">
        <v>26</v>
      </c>
      <c r="C87" s="49">
        <f>State_allowances</f>
        <v>0</v>
      </c>
    </row>
    <row r="88" spans="1:7" x14ac:dyDescent="0.2">
      <c r="A88" s="41" t="s">
        <v>27</v>
      </c>
      <c r="C88" s="50">
        <f>Frequency</f>
        <v>0</v>
      </c>
    </row>
    <row r="89" spans="1:7" x14ac:dyDescent="0.2">
      <c r="A89" s="41" t="s">
        <v>93</v>
      </c>
      <c r="C89" s="58">
        <f>State_allow</f>
        <v>2250</v>
      </c>
    </row>
    <row r="90" spans="1:7" x14ac:dyDescent="0.2">
      <c r="A90" s="67" t="s">
        <v>94</v>
      </c>
      <c r="B90" s="68">
        <f>B70</f>
        <v>0</v>
      </c>
    </row>
    <row r="91" spans="1:7" x14ac:dyDescent="0.2">
      <c r="A91" s="41" t="s">
        <v>95</v>
      </c>
      <c r="B91" s="51">
        <f>B86-B90</f>
        <v>0</v>
      </c>
    </row>
    <row r="92" spans="1:7" x14ac:dyDescent="0.2">
      <c r="A92" s="41" t="s">
        <v>96</v>
      </c>
      <c r="B92" s="45" t="e">
        <f>ROUND(VLOOKUP(B91,CHOOSE(KS_index,PKSBW,PKMBW,PKSMN,PKMMN,PKS1T,PKM1T),2),2)</f>
        <v>#N/A</v>
      </c>
      <c r="G92" s="64"/>
    </row>
    <row r="93" spans="1:7" x14ac:dyDescent="0.2">
      <c r="A93" s="41" t="s">
        <v>108</v>
      </c>
      <c r="B93" s="68">
        <f>B73</f>
        <v>0</v>
      </c>
      <c r="F93" s="63"/>
    </row>
    <row r="94" spans="1:7" x14ac:dyDescent="0.2">
      <c r="A94" s="43" t="s">
        <v>125</v>
      </c>
      <c r="B94" s="45">
        <f>IF(ISNA(SUM(B92:B93)),0,SUM(B92:B93))</f>
        <v>0</v>
      </c>
    </row>
    <row r="95" spans="1:7" x14ac:dyDescent="0.2">
      <c r="A95" s="52" t="s">
        <v>126</v>
      </c>
      <c r="B95" s="68">
        <f>-B74</f>
        <v>0</v>
      </c>
    </row>
    <row r="96" spans="1:7" x14ac:dyDescent="0.2">
      <c r="A96" s="43" t="s">
        <v>116</v>
      </c>
      <c r="B96" s="48">
        <f>B94+B95</f>
        <v>0</v>
      </c>
    </row>
    <row r="97" spans="1:3" x14ac:dyDescent="0.2">
      <c r="A97" s="43"/>
    </row>
    <row r="98" spans="1:3" x14ac:dyDescent="0.2">
      <c r="A98" s="3" t="s">
        <v>101</v>
      </c>
      <c r="B98" s="44">
        <v>0</v>
      </c>
      <c r="C98" s="47" t="s">
        <v>127</v>
      </c>
    </row>
    <row r="99" spans="1:3" x14ac:dyDescent="0.2">
      <c r="A99" s="52" t="s">
        <v>102</v>
      </c>
      <c r="B99" s="54">
        <v>0</v>
      </c>
      <c r="C99" s="47" t="s">
        <v>127</v>
      </c>
    </row>
    <row r="100" spans="1:3" x14ac:dyDescent="0.2">
      <c r="A100" s="52" t="s">
        <v>103</v>
      </c>
      <c r="B100" s="45">
        <f>SUM(B98:B99)</f>
        <v>0</v>
      </c>
    </row>
    <row r="101" spans="1:3" x14ac:dyDescent="0.2">
      <c r="A101" s="52" t="s">
        <v>104</v>
      </c>
      <c r="B101" s="55">
        <v>0</v>
      </c>
    </row>
    <row r="102" spans="1:3" x14ac:dyDescent="0.2">
      <c r="A102" s="43" t="s">
        <v>109</v>
      </c>
      <c r="B102" s="48">
        <f>ROUND(B98*B101,2)</f>
        <v>0</v>
      </c>
    </row>
    <row r="104" spans="1:3" x14ac:dyDescent="0.2">
      <c r="A104" s="42" t="s">
        <v>110</v>
      </c>
      <c r="B104" s="48">
        <f>B74+B79+B96+B102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0"/>
  <sheetViews>
    <sheetView topLeftCell="A33" workbookViewId="0">
      <selection activeCell="G89" sqref="G89"/>
    </sheetView>
  </sheetViews>
  <sheetFormatPr defaultRowHeight="12.75" x14ac:dyDescent="0.2"/>
  <cols>
    <col min="1" max="4" width="11.85546875" bestFit="1" customWidth="1"/>
    <col min="5" max="5" width="9.28515625" bestFit="1" customWidth="1"/>
    <col min="9" max="9" width="3.7109375" customWidth="1"/>
    <col min="10" max="10" width="28.5703125" bestFit="1" customWidth="1"/>
    <col min="11" max="11" width="10.28515625" bestFit="1" customWidth="1"/>
    <col min="12" max="12" width="11.85546875" bestFit="1" customWidth="1"/>
    <col min="13" max="13" width="10.28515625" bestFit="1" customWidth="1"/>
    <col min="15" max="15" width="11.85546875" bestFit="1" customWidth="1"/>
  </cols>
  <sheetData>
    <row r="1" spans="1:15" ht="13.5" thickBot="1" x14ac:dyDescent="0.25">
      <c r="A1" s="15" t="s">
        <v>33</v>
      </c>
      <c r="B1" s="9"/>
      <c r="C1" s="9"/>
      <c r="D1" s="9"/>
      <c r="E1" s="9"/>
      <c r="F1" s="9"/>
      <c r="J1" s="15" t="s">
        <v>52</v>
      </c>
      <c r="K1" s="9"/>
      <c r="L1" s="9"/>
      <c r="M1" s="9"/>
      <c r="N1" s="9"/>
      <c r="O1" s="9"/>
    </row>
    <row r="2" spans="1:15" x14ac:dyDescent="0.2">
      <c r="A2" s="98" t="s">
        <v>49</v>
      </c>
      <c r="B2" s="98"/>
      <c r="C2" s="98"/>
      <c r="D2" s="98"/>
      <c r="J2" s="98" t="s">
        <v>49</v>
      </c>
      <c r="K2" s="98"/>
      <c r="L2" s="98"/>
      <c r="M2" s="98"/>
    </row>
    <row r="3" spans="1:15" x14ac:dyDescent="0.2">
      <c r="A3" s="101" t="s">
        <v>42</v>
      </c>
      <c r="B3" s="102"/>
      <c r="C3" s="101" t="s">
        <v>43</v>
      </c>
      <c r="D3" s="102"/>
      <c r="E3" s="30" t="s">
        <v>65</v>
      </c>
      <c r="G3" t="s">
        <v>72</v>
      </c>
      <c r="H3" t="s">
        <v>73</v>
      </c>
      <c r="J3" s="99" t="s">
        <v>53</v>
      </c>
      <c r="K3" s="100"/>
      <c r="L3" s="99" t="s">
        <v>54</v>
      </c>
      <c r="M3" s="100"/>
      <c r="N3" s="30" t="s">
        <v>65</v>
      </c>
    </row>
    <row r="4" spans="1:15" x14ac:dyDescent="0.2">
      <c r="A4" s="22">
        <v>-999999</v>
      </c>
      <c r="B4" s="23">
        <v>0</v>
      </c>
      <c r="C4" s="22">
        <v>-999999</v>
      </c>
      <c r="D4" s="23">
        <v>0</v>
      </c>
      <c r="E4" s="31"/>
      <c r="J4" s="16">
        <v>-999999</v>
      </c>
      <c r="K4" s="17">
        <v>0</v>
      </c>
      <c r="L4" s="16">
        <v>-999999</v>
      </c>
      <c r="M4" s="17">
        <v>0</v>
      </c>
      <c r="N4" s="31"/>
    </row>
    <row r="5" spans="1:15" x14ac:dyDescent="0.2">
      <c r="A5" s="18">
        <f>ROUNDUP(A27/26,0)</f>
        <v>147</v>
      </c>
      <c r="B5" s="19">
        <f>(E5*(Fed_taxable-A5))</f>
        <v>-14.700000000000001</v>
      </c>
      <c r="C5" s="18">
        <f>ROUNDUP(C27/26,0)</f>
        <v>454</v>
      </c>
      <c r="D5" s="19">
        <f>(E5*(Fed_taxable-C5))</f>
        <v>-45.400000000000006</v>
      </c>
      <c r="E5" s="34">
        <f t="shared" ref="E5:E11" si="0">IF($C$35="S",G5,H5)</f>
        <v>0.1</v>
      </c>
      <c r="G5" s="85">
        <f>G27</f>
        <v>0.1</v>
      </c>
      <c r="H5" s="85">
        <f t="shared" ref="H5:H11" si="1">H27</f>
        <v>0.1</v>
      </c>
      <c r="I5" s="35"/>
      <c r="J5" s="83">
        <f>ROUNDUP(J21/26,0)</f>
        <v>116</v>
      </c>
      <c r="K5" s="19">
        <f>(N5*(State_taxable-J5))</f>
        <v>-3.5960000000000001</v>
      </c>
      <c r="L5" s="83">
        <f>ROUNDUP(L21/26,0)</f>
        <v>289</v>
      </c>
      <c r="M5" s="19">
        <f>(N5*(State_taxable-L5))</f>
        <v>-8.9589999999999996</v>
      </c>
      <c r="N5" s="86">
        <f>N21</f>
        <v>3.1E-2</v>
      </c>
    </row>
    <row r="6" spans="1:15" x14ac:dyDescent="0.2">
      <c r="A6" s="18">
        <f t="shared" ref="A6:A11" si="2">ROUNDUP(A28/26,0)</f>
        <v>520</v>
      </c>
      <c r="B6" s="92">
        <f t="shared" ref="B6:B11" si="3">(E6*(Fed_taxable-A6))+B85/26</f>
        <v>-25.092307692307692</v>
      </c>
      <c r="C6" s="18">
        <f t="shared" ref="C6:C11" si="4">ROUNDUP(C28/26,0)</f>
        <v>1200</v>
      </c>
      <c r="D6" s="92">
        <f t="shared" ref="D6:D11" si="5">(E6*(Fed_taxable-C6))+D85/26</f>
        <v>-69.384615384615387</v>
      </c>
      <c r="E6" s="34">
        <f t="shared" si="0"/>
        <v>0.12</v>
      </c>
      <c r="G6" s="85">
        <f t="shared" ref="G6:G11" si="6">G28</f>
        <v>0.12</v>
      </c>
      <c r="H6" s="85">
        <f t="shared" si="1"/>
        <v>0.12</v>
      </c>
      <c r="I6" s="35"/>
      <c r="J6" s="83">
        <f t="shared" ref="J6:J8" si="7">ROUNDUP(J22/26,0)</f>
        <v>693</v>
      </c>
      <c r="K6" s="92">
        <f>((N6*(State_taxable-J6))+K85/26)</f>
        <v>-18.497884615384617</v>
      </c>
      <c r="L6" s="83">
        <f>ROUNDUP(L22/26,0)</f>
        <v>1443</v>
      </c>
      <c r="M6" s="92">
        <f>((N6*(State_taxable-L6))+M85/26)</f>
        <v>-39.988269230769227</v>
      </c>
      <c r="N6" s="86">
        <f>N22</f>
        <v>5.2499999999999998E-2</v>
      </c>
    </row>
    <row r="7" spans="1:15" x14ac:dyDescent="0.2">
      <c r="A7" s="18">
        <f t="shared" si="2"/>
        <v>1665</v>
      </c>
      <c r="B7" s="92">
        <f t="shared" si="3"/>
        <v>-191.56923076923078</v>
      </c>
      <c r="C7" s="18">
        <f t="shared" si="4"/>
        <v>3491</v>
      </c>
      <c r="D7" s="92">
        <f t="shared" si="5"/>
        <v>-418.55846153846153</v>
      </c>
      <c r="E7" s="34">
        <f t="shared" si="0"/>
        <v>0.22</v>
      </c>
      <c r="G7" s="85">
        <f t="shared" si="6"/>
        <v>0.22</v>
      </c>
      <c r="H7" s="85">
        <f t="shared" si="1"/>
        <v>0.22</v>
      </c>
      <c r="I7" s="35"/>
      <c r="J7" s="83">
        <f t="shared" si="7"/>
        <v>38462</v>
      </c>
      <c r="K7" s="19"/>
      <c r="L7" s="83">
        <f>ROUNDUP(L23/26,0)</f>
        <v>38462</v>
      </c>
      <c r="M7" s="19"/>
      <c r="N7" s="86"/>
    </row>
    <row r="8" spans="1:15" x14ac:dyDescent="0.2">
      <c r="A8" s="18">
        <f t="shared" si="2"/>
        <v>3385</v>
      </c>
      <c r="B8" s="92">
        <f t="shared" si="3"/>
        <v>-259.22692307692307</v>
      </c>
      <c r="C8" s="18">
        <f t="shared" si="4"/>
        <v>6931</v>
      </c>
      <c r="D8" s="92">
        <f t="shared" si="5"/>
        <v>-557.09384615384602</v>
      </c>
      <c r="E8" s="34">
        <f t="shared" si="0"/>
        <v>0.24</v>
      </c>
      <c r="G8" s="85">
        <f t="shared" si="6"/>
        <v>0.24</v>
      </c>
      <c r="H8" s="85">
        <f t="shared" si="1"/>
        <v>0.24</v>
      </c>
      <c r="I8" s="35"/>
      <c r="J8" s="84">
        <f t="shared" si="7"/>
        <v>38462</v>
      </c>
      <c r="K8" s="21"/>
      <c r="L8" s="84">
        <f>ROUNDUP(L24/26,0)</f>
        <v>38462</v>
      </c>
      <c r="M8" s="21"/>
      <c r="N8" s="87"/>
    </row>
    <row r="9" spans="1:15" x14ac:dyDescent="0.2">
      <c r="A9" s="18">
        <f t="shared" si="2"/>
        <v>6328</v>
      </c>
      <c r="B9" s="92">
        <f t="shared" si="3"/>
        <v>-765.40230769230766</v>
      </c>
      <c r="C9" s="18">
        <f t="shared" si="4"/>
        <v>12818</v>
      </c>
      <c r="D9" s="92">
        <f t="shared" si="5"/>
        <v>-1582.6446153846155</v>
      </c>
      <c r="E9" s="34">
        <f t="shared" si="0"/>
        <v>0.32</v>
      </c>
      <c r="G9" s="85">
        <f t="shared" si="6"/>
        <v>0.32</v>
      </c>
      <c r="H9" s="85">
        <f t="shared" si="1"/>
        <v>0.32</v>
      </c>
      <c r="I9" s="35"/>
      <c r="N9" s="57"/>
    </row>
    <row r="10" spans="1:15" x14ac:dyDescent="0.2">
      <c r="A10" s="18">
        <f t="shared" si="2"/>
        <v>7997</v>
      </c>
      <c r="B10" s="92">
        <f t="shared" si="3"/>
        <v>-1005.5461538461536</v>
      </c>
      <c r="C10" s="18">
        <f t="shared" si="4"/>
        <v>16154</v>
      </c>
      <c r="D10" s="92">
        <f t="shared" si="5"/>
        <v>-2067.0923076923073</v>
      </c>
      <c r="E10" s="34">
        <f t="shared" si="0"/>
        <v>0.35</v>
      </c>
      <c r="G10" s="85">
        <f t="shared" si="6"/>
        <v>0.35</v>
      </c>
      <c r="H10" s="85">
        <f t="shared" si="1"/>
        <v>0.35</v>
      </c>
      <c r="I10" s="35"/>
      <c r="J10" s="98" t="s">
        <v>41</v>
      </c>
      <c r="K10" s="98"/>
      <c r="L10" s="98"/>
      <c r="M10" s="98"/>
      <c r="N10" s="57"/>
    </row>
    <row r="11" spans="1:15" x14ac:dyDescent="0.2">
      <c r="A11" s="20">
        <f t="shared" si="2"/>
        <v>19774</v>
      </c>
      <c r="B11" s="93">
        <f t="shared" si="3"/>
        <v>-1401.0530769230772</v>
      </c>
      <c r="C11" s="20">
        <f t="shared" si="4"/>
        <v>24006</v>
      </c>
      <c r="D11" s="93">
        <f t="shared" si="5"/>
        <v>-2547.2392307692298</v>
      </c>
      <c r="E11" s="75">
        <f t="shared" si="0"/>
        <v>0.37</v>
      </c>
      <c r="G11" s="85">
        <f t="shared" si="6"/>
        <v>0.37</v>
      </c>
      <c r="H11" s="85">
        <f t="shared" si="1"/>
        <v>0.37</v>
      </c>
      <c r="I11" s="35"/>
      <c r="J11" s="98" t="s">
        <v>56</v>
      </c>
      <c r="K11" s="98"/>
      <c r="L11" s="98" t="s">
        <v>55</v>
      </c>
      <c r="M11" s="98"/>
      <c r="N11" s="88" t="s">
        <v>65</v>
      </c>
    </row>
    <row r="12" spans="1:15" x14ac:dyDescent="0.2">
      <c r="I12" s="35"/>
      <c r="J12" s="22">
        <v>-999999</v>
      </c>
      <c r="K12" s="23">
        <v>0</v>
      </c>
      <c r="L12" s="22">
        <v>-999999</v>
      </c>
      <c r="M12" s="23">
        <v>0</v>
      </c>
      <c r="N12" s="89"/>
    </row>
    <row r="13" spans="1:15" x14ac:dyDescent="0.2">
      <c r="A13" s="98" t="s">
        <v>41</v>
      </c>
      <c r="B13" s="98"/>
      <c r="C13" s="98"/>
      <c r="D13" s="98"/>
      <c r="J13" s="83">
        <f>ROUNDUP(J21/12,0)</f>
        <v>250</v>
      </c>
      <c r="K13" s="19">
        <f>(N13*(State_taxable-J13))</f>
        <v>-7.75</v>
      </c>
      <c r="L13" s="83">
        <f>ROUNDUP(L21/12,0)</f>
        <v>625</v>
      </c>
      <c r="M13" s="19">
        <f>(N13*(State_taxable-L13))</f>
        <v>-19.375</v>
      </c>
      <c r="N13" s="86">
        <f>N21</f>
        <v>3.1E-2</v>
      </c>
    </row>
    <row r="14" spans="1:15" x14ac:dyDescent="0.2">
      <c r="A14" s="99" t="s">
        <v>44</v>
      </c>
      <c r="B14" s="100"/>
      <c r="C14" s="99" t="s">
        <v>45</v>
      </c>
      <c r="D14" s="100"/>
      <c r="E14" s="30" t="s">
        <v>65</v>
      </c>
      <c r="G14" t="s">
        <v>72</v>
      </c>
      <c r="H14" t="s">
        <v>73</v>
      </c>
      <c r="J14" s="83">
        <f>ROUNDUP(J22/12,0)</f>
        <v>1500</v>
      </c>
      <c r="K14" s="92">
        <f>((N14*(State_taxable-J14))+K85/12)</f>
        <v>-40</v>
      </c>
      <c r="L14" s="83">
        <f>ROUNDUP(L22/12,0)</f>
        <v>3125</v>
      </c>
      <c r="M14" s="92">
        <f>((N14*(State_taxable-L14))+M85/12)</f>
        <v>-86.5625</v>
      </c>
      <c r="N14" s="86">
        <f>N22</f>
        <v>5.2499999999999998E-2</v>
      </c>
    </row>
    <row r="15" spans="1:15" x14ac:dyDescent="0.2">
      <c r="A15" s="16">
        <v>-999999</v>
      </c>
      <c r="B15" s="17">
        <v>0</v>
      </c>
      <c r="C15" s="16">
        <v>-999999</v>
      </c>
      <c r="D15" s="17">
        <v>0</v>
      </c>
      <c r="E15" s="31"/>
      <c r="J15" s="83">
        <f>ROUNDUP(J23/12,0)</f>
        <v>83334</v>
      </c>
      <c r="K15" s="19"/>
      <c r="L15" s="83">
        <f>ROUNDUP(L23/12,0)</f>
        <v>83334</v>
      </c>
      <c r="M15" s="19"/>
      <c r="N15" s="86"/>
    </row>
    <row r="16" spans="1:15" x14ac:dyDescent="0.2">
      <c r="A16" s="18">
        <f>ROUNDUP(A27/12,0)</f>
        <v>317</v>
      </c>
      <c r="B16" s="92">
        <f>(E16*(Fed_taxable-A16))</f>
        <v>-31.700000000000003</v>
      </c>
      <c r="C16" s="18">
        <f>ROUNDUP(C27/12,0)</f>
        <v>984</v>
      </c>
      <c r="D16" s="92">
        <f>(E16*(Fed_taxable-C16))</f>
        <v>-98.4</v>
      </c>
      <c r="E16" s="34">
        <f t="shared" ref="E16:E22" si="8">IF($C$35="S",G16,H16)</f>
        <v>0.1</v>
      </c>
      <c r="G16" s="85">
        <f>G27</f>
        <v>0.1</v>
      </c>
      <c r="H16" s="85">
        <f t="shared" ref="H16:H22" si="9">H27</f>
        <v>0.1</v>
      </c>
      <c r="J16" s="84">
        <f>ROUNDUP(J24/12,0)</f>
        <v>83334</v>
      </c>
      <c r="K16" s="21"/>
      <c r="L16" s="84">
        <f>ROUNDUP(L24/12,0)</f>
        <v>83334</v>
      </c>
      <c r="M16" s="21"/>
      <c r="N16" s="32"/>
    </row>
    <row r="17" spans="1:15" x14ac:dyDescent="0.2">
      <c r="A17" s="18">
        <f t="shared" ref="A17:A22" si="10">ROUNDUP(A28/12,0)</f>
        <v>1125</v>
      </c>
      <c r="B17" s="92">
        <f t="shared" ref="B17:B22" si="11">(E17*(Fed_taxable-A17))+B85/12</f>
        <v>-54.166666666666671</v>
      </c>
      <c r="C17" s="18">
        <f t="shared" ref="C17:C22" si="12">ROUNDUP(C28/12,0)</f>
        <v>2600</v>
      </c>
      <c r="D17" s="92">
        <f t="shared" ref="D17:D22" si="13">(E17*(Fed_taxable-C17))+D85/12</f>
        <v>-150.33333333333334</v>
      </c>
      <c r="E17" s="34">
        <f t="shared" si="8"/>
        <v>0.12</v>
      </c>
      <c r="G17" s="85">
        <f t="shared" ref="G17:G22" si="14">G28</f>
        <v>0.12</v>
      </c>
      <c r="H17" s="85">
        <f t="shared" si="9"/>
        <v>0.12</v>
      </c>
    </row>
    <row r="18" spans="1:15" x14ac:dyDescent="0.2">
      <c r="A18" s="18">
        <f t="shared" si="10"/>
        <v>3607</v>
      </c>
      <c r="B18" s="92">
        <f t="shared" si="11"/>
        <v>-414.95666666666665</v>
      </c>
      <c r="C18" s="18">
        <f t="shared" si="12"/>
        <v>7563</v>
      </c>
      <c r="D18" s="92">
        <f t="shared" si="13"/>
        <v>-906.69333333333327</v>
      </c>
      <c r="E18" s="34">
        <f t="shared" si="8"/>
        <v>0.22</v>
      </c>
      <c r="G18" s="85">
        <f t="shared" si="14"/>
        <v>0.22</v>
      </c>
      <c r="H18" s="85">
        <f t="shared" si="9"/>
        <v>0.22</v>
      </c>
      <c r="I18" s="35"/>
      <c r="J18" s="98" t="s">
        <v>75</v>
      </c>
      <c r="K18" s="98"/>
      <c r="L18" s="98"/>
      <c r="M18" s="98"/>
    </row>
    <row r="19" spans="1:15" x14ac:dyDescent="0.2">
      <c r="A19" s="18">
        <f t="shared" si="10"/>
        <v>7334</v>
      </c>
      <c r="B19" s="92">
        <f t="shared" si="11"/>
        <v>-561.61833333333311</v>
      </c>
      <c r="C19" s="18">
        <f t="shared" si="12"/>
        <v>15017</v>
      </c>
      <c r="D19" s="92">
        <f t="shared" si="13"/>
        <v>-1206.9966666666664</v>
      </c>
      <c r="E19" s="34">
        <f t="shared" si="8"/>
        <v>0.24</v>
      </c>
      <c r="G19" s="85">
        <f t="shared" si="14"/>
        <v>0.24</v>
      </c>
      <c r="H19" s="85">
        <f t="shared" si="9"/>
        <v>0.24</v>
      </c>
      <c r="I19" s="35"/>
      <c r="J19" s="98" t="s">
        <v>79</v>
      </c>
      <c r="K19" s="98"/>
      <c r="L19" s="98" t="s">
        <v>80</v>
      </c>
      <c r="M19" s="98"/>
      <c r="N19" s="30" t="s">
        <v>65</v>
      </c>
    </row>
    <row r="20" spans="1:15" x14ac:dyDescent="0.2">
      <c r="A20" s="18">
        <f t="shared" si="10"/>
        <v>13711</v>
      </c>
      <c r="B20" s="92">
        <f t="shared" si="11"/>
        <v>-1658.4783333333339</v>
      </c>
      <c r="C20" s="18">
        <f t="shared" si="12"/>
        <v>27771</v>
      </c>
      <c r="D20" s="92">
        <f t="shared" si="13"/>
        <v>-3428.6366666666663</v>
      </c>
      <c r="E20" s="34">
        <f t="shared" si="8"/>
        <v>0.32</v>
      </c>
      <c r="G20" s="85">
        <f t="shared" si="14"/>
        <v>0.32</v>
      </c>
      <c r="H20" s="85">
        <f t="shared" si="9"/>
        <v>0.32</v>
      </c>
      <c r="I20" s="35"/>
      <c r="J20" s="22">
        <v>-999999</v>
      </c>
      <c r="K20" s="23">
        <v>0</v>
      </c>
      <c r="L20" s="22">
        <v>-999999</v>
      </c>
      <c r="M20" s="23">
        <v>0</v>
      </c>
      <c r="N20" s="31"/>
    </row>
    <row r="21" spans="1:15" x14ac:dyDescent="0.2">
      <c r="A21" s="18">
        <f t="shared" si="10"/>
        <v>17325</v>
      </c>
      <c r="B21" s="92">
        <f t="shared" si="11"/>
        <v>-2178.0416666666665</v>
      </c>
      <c r="C21" s="18">
        <f t="shared" si="12"/>
        <v>35000</v>
      </c>
      <c r="D21" s="92">
        <f t="shared" si="13"/>
        <v>-4478.583333333333</v>
      </c>
      <c r="E21" s="34">
        <f t="shared" si="8"/>
        <v>0.35</v>
      </c>
      <c r="G21" s="85">
        <f t="shared" si="14"/>
        <v>0.35</v>
      </c>
      <c r="H21" s="85">
        <f t="shared" si="9"/>
        <v>0.35</v>
      </c>
      <c r="I21" s="35"/>
      <c r="J21" s="81">
        <v>3000</v>
      </c>
      <c r="K21" s="19">
        <f>(N21*(((Inc_tax_pay+SSP))-(State_allowances*State_allow)-J21))</f>
        <v>-93</v>
      </c>
      <c r="L21" s="81">
        <v>7500</v>
      </c>
      <c r="M21" s="19">
        <f>(N21*(((Inc_tax_pay+SSP))-(State_allowances*State_allow)-L21))</f>
        <v>-232.5</v>
      </c>
      <c r="N21" s="82">
        <v>3.1E-2</v>
      </c>
    </row>
    <row r="22" spans="1:15" x14ac:dyDescent="0.2">
      <c r="A22" s="20">
        <f t="shared" si="10"/>
        <v>42842</v>
      </c>
      <c r="B22" s="93">
        <f t="shared" si="11"/>
        <v>-3034.998333333333</v>
      </c>
      <c r="C22" s="20">
        <f t="shared" si="12"/>
        <v>52013</v>
      </c>
      <c r="D22" s="93">
        <f t="shared" si="13"/>
        <v>-5519.0183333333352</v>
      </c>
      <c r="E22" s="75">
        <f t="shared" si="8"/>
        <v>0.37</v>
      </c>
      <c r="G22" s="85">
        <f t="shared" si="14"/>
        <v>0.37</v>
      </c>
      <c r="H22" s="85">
        <f t="shared" si="9"/>
        <v>0.37</v>
      </c>
      <c r="I22" s="35"/>
      <c r="J22" s="78">
        <v>18000</v>
      </c>
      <c r="K22" s="92">
        <f>((N22*(((Inc_tax_pay+SSP))-(State_allowances*State_allow)-J22))+K85)</f>
        <v>-480</v>
      </c>
      <c r="L22" s="78">
        <v>37500</v>
      </c>
      <c r="M22" s="92">
        <f>((N22*(((Inc_tax_pay+SSP))-(State_allowances*State_allow)-L22))+M85)</f>
        <v>-1038.75</v>
      </c>
      <c r="N22" s="82">
        <v>5.2499999999999998E-2</v>
      </c>
    </row>
    <row r="23" spans="1:15" x14ac:dyDescent="0.2">
      <c r="I23" s="35"/>
      <c r="J23" s="78">
        <v>999998</v>
      </c>
      <c r="K23" s="19"/>
      <c r="L23" s="78">
        <v>999998</v>
      </c>
      <c r="M23" s="19"/>
      <c r="N23" s="33"/>
    </row>
    <row r="24" spans="1:15" x14ac:dyDescent="0.2">
      <c r="A24" s="98" t="s">
        <v>74</v>
      </c>
      <c r="B24" s="98"/>
      <c r="C24" s="98"/>
      <c r="D24" s="98"/>
      <c r="I24" s="35"/>
      <c r="J24" s="79">
        <v>999999</v>
      </c>
      <c r="K24" s="21"/>
      <c r="L24" s="79">
        <v>999999</v>
      </c>
      <c r="M24" s="21"/>
      <c r="N24" s="32"/>
    </row>
    <row r="25" spans="1:15" x14ac:dyDescent="0.2">
      <c r="A25" s="99" t="s">
        <v>76</v>
      </c>
      <c r="B25" s="100"/>
      <c r="C25" s="99" t="s">
        <v>77</v>
      </c>
      <c r="D25" s="100"/>
      <c r="E25" s="30" t="s">
        <v>65</v>
      </c>
      <c r="G25" t="s">
        <v>72</v>
      </c>
      <c r="H25" t="s">
        <v>73</v>
      </c>
      <c r="I25" s="35"/>
    </row>
    <row r="26" spans="1:15" x14ac:dyDescent="0.2">
      <c r="A26" s="16">
        <v>-999999</v>
      </c>
      <c r="B26" s="17">
        <v>0</v>
      </c>
      <c r="C26" s="16">
        <v>-999999</v>
      </c>
      <c r="D26" s="17">
        <v>0</v>
      </c>
      <c r="E26" s="31"/>
      <c r="J26" t="s">
        <v>46</v>
      </c>
      <c r="K26" t="str">
        <f>CONCATENATE(IF(L26="M","M","S"),M26)</f>
        <v>S0</v>
      </c>
      <c r="L26">
        <f>State_status</f>
        <v>0</v>
      </c>
      <c r="M26">
        <f>Frequency</f>
        <v>0</v>
      </c>
      <c r="N26">
        <f>IF(KS_Table="SBW",1,IF(KS_Table="MBW",2,IF(KS_Table="SMN",3,IF(KS_Table="MMN",4,IF(KS_Table="S1T",5,6)))))</f>
        <v>6</v>
      </c>
      <c r="O26" t="s">
        <v>67</v>
      </c>
    </row>
    <row r="27" spans="1:15" x14ac:dyDescent="0.2">
      <c r="A27" s="78">
        <v>3800</v>
      </c>
      <c r="B27" s="19">
        <f>(E27*((Inc_tax_pay+SSP)-(Allowances*AN_allowance)-A27))</f>
        <v>-380</v>
      </c>
      <c r="C27" s="78">
        <v>11800</v>
      </c>
      <c r="D27" s="19">
        <f>(E27*((Inc_tax_pay+SSP)-(Allowances*AN_allowance)-C27))</f>
        <v>-1180</v>
      </c>
      <c r="E27" s="34">
        <f t="shared" ref="E27:E33" si="15">IF($C$35="S",G27,H27)</f>
        <v>0.1</v>
      </c>
      <c r="G27" s="77">
        <v>0.1</v>
      </c>
      <c r="H27" s="77">
        <v>0.1</v>
      </c>
    </row>
    <row r="28" spans="1:15" x14ac:dyDescent="0.2">
      <c r="A28" s="78">
        <v>13500</v>
      </c>
      <c r="B28" s="92">
        <f t="shared" ref="B28:B33" si="16">(E28*((Inc_tax_pay+SSP)-(Allowances*AN_allowance)-A28))+B85</f>
        <v>-650</v>
      </c>
      <c r="C28" s="78">
        <v>31200</v>
      </c>
      <c r="D28" s="92">
        <f t="shared" ref="D28:D33" si="17">(E28*((Inc_tax_pay+SSP)-(Allowances*AN_allowance)-C28))+D85</f>
        <v>-1804</v>
      </c>
      <c r="E28" s="34">
        <f t="shared" si="15"/>
        <v>0.12</v>
      </c>
      <c r="G28" s="77">
        <v>0.12</v>
      </c>
      <c r="H28" s="77">
        <v>0.12</v>
      </c>
      <c r="J28" s="11" t="s">
        <v>48</v>
      </c>
    </row>
    <row r="29" spans="1:15" x14ac:dyDescent="0.2">
      <c r="A29" s="78">
        <v>43275</v>
      </c>
      <c r="B29" s="92">
        <f t="shared" si="16"/>
        <v>-4977.5</v>
      </c>
      <c r="C29" s="78">
        <v>90750</v>
      </c>
      <c r="D29" s="92">
        <f t="shared" si="17"/>
        <v>-10879</v>
      </c>
      <c r="E29" s="34">
        <f t="shared" si="15"/>
        <v>0.22</v>
      </c>
      <c r="G29" s="77">
        <v>0.22</v>
      </c>
      <c r="H29" s="77">
        <v>0.22</v>
      </c>
    </row>
    <row r="30" spans="1:15" x14ac:dyDescent="0.2">
      <c r="A30" s="78">
        <v>88000</v>
      </c>
      <c r="B30" s="92">
        <f t="shared" si="16"/>
        <v>-6737.5</v>
      </c>
      <c r="C30" s="78">
        <v>180200</v>
      </c>
      <c r="D30" s="92">
        <f t="shared" si="17"/>
        <v>-14483</v>
      </c>
      <c r="E30" s="34">
        <f t="shared" si="15"/>
        <v>0.24</v>
      </c>
      <c r="G30" s="77">
        <v>0.24</v>
      </c>
      <c r="H30" s="77">
        <v>0.24</v>
      </c>
    </row>
    <row r="31" spans="1:15" x14ac:dyDescent="0.2">
      <c r="A31" s="78">
        <v>164525</v>
      </c>
      <c r="B31" s="92">
        <f t="shared" si="16"/>
        <v>-19899.5</v>
      </c>
      <c r="C31" s="78">
        <v>333250</v>
      </c>
      <c r="D31" s="92">
        <f t="shared" si="17"/>
        <v>-41143</v>
      </c>
      <c r="E31" s="34">
        <f t="shared" si="15"/>
        <v>0.32</v>
      </c>
      <c r="G31" s="77">
        <v>0.32</v>
      </c>
      <c r="H31" s="77">
        <v>0.32</v>
      </c>
    </row>
    <row r="32" spans="1:15" x14ac:dyDescent="0.2">
      <c r="A32" s="78">
        <v>207900</v>
      </c>
      <c r="B32" s="92">
        <f t="shared" si="16"/>
        <v>-26136.5</v>
      </c>
      <c r="C32" s="78">
        <v>420000</v>
      </c>
      <c r="D32" s="92">
        <f t="shared" si="17"/>
        <v>-53743</v>
      </c>
      <c r="E32" s="34">
        <f t="shared" si="15"/>
        <v>0.35</v>
      </c>
      <c r="G32" s="77">
        <v>0.35</v>
      </c>
      <c r="H32" s="77">
        <v>0.35</v>
      </c>
    </row>
    <row r="33" spans="1:15" x14ac:dyDescent="0.2">
      <c r="A33" s="79">
        <v>514100</v>
      </c>
      <c r="B33" s="93">
        <f t="shared" si="16"/>
        <v>-36418.5</v>
      </c>
      <c r="C33" s="79">
        <v>624150</v>
      </c>
      <c r="D33" s="93">
        <f t="shared" si="17"/>
        <v>-66226</v>
      </c>
      <c r="E33" s="74">
        <f t="shared" si="15"/>
        <v>0.37</v>
      </c>
      <c r="G33" s="77">
        <v>0.37</v>
      </c>
      <c r="H33" s="77">
        <v>0.37</v>
      </c>
    </row>
    <row r="35" spans="1:15" x14ac:dyDescent="0.2">
      <c r="A35" t="s">
        <v>46</v>
      </c>
      <c r="B35" t="str">
        <f>CONCATENATE(IF(C35="M","M","S"),D35)</f>
        <v>S0</v>
      </c>
      <c r="C35">
        <f>Status</f>
        <v>0</v>
      </c>
      <c r="D35">
        <f>Frequency</f>
        <v>0</v>
      </c>
      <c r="E35">
        <f>IF(Table="SBW",1,IF(Table="MBW",2,IF(Table="SMN",3,IF(Table="MMN",4,IF(Table="S1T",5,6)))))</f>
        <v>6</v>
      </c>
      <c r="F35" s="36" t="s">
        <v>82</v>
      </c>
    </row>
    <row r="37" spans="1:15" x14ac:dyDescent="0.2">
      <c r="A37" s="11" t="s">
        <v>48</v>
      </c>
      <c r="E37" s="80" t="s">
        <v>153</v>
      </c>
      <c r="F37" s="80"/>
      <c r="G37" s="80"/>
      <c r="H37" s="80"/>
    </row>
    <row r="38" spans="1:15" x14ac:dyDescent="0.2">
      <c r="A38" s="61"/>
      <c r="J38" s="61"/>
    </row>
    <row r="39" spans="1:15" x14ac:dyDescent="0.2">
      <c r="A39" s="61" t="s">
        <v>159</v>
      </c>
      <c r="J39" s="61" t="s">
        <v>160</v>
      </c>
    </row>
    <row r="42" spans="1:15" ht="13.5" thickBot="1" x14ac:dyDescent="0.25">
      <c r="A42" s="15" t="s">
        <v>130</v>
      </c>
      <c r="B42" s="9"/>
      <c r="C42" s="9"/>
      <c r="D42" s="9"/>
      <c r="E42" s="9"/>
      <c r="F42" s="9"/>
      <c r="J42" s="15" t="s">
        <v>137</v>
      </c>
      <c r="K42" s="9"/>
      <c r="L42" s="9"/>
      <c r="M42" s="9"/>
      <c r="N42" s="9"/>
      <c r="O42" s="9"/>
    </row>
    <row r="43" spans="1:15" x14ac:dyDescent="0.2">
      <c r="A43" s="98" t="s">
        <v>49</v>
      </c>
      <c r="B43" s="98"/>
      <c r="C43" s="98"/>
      <c r="D43" s="98"/>
      <c r="J43" s="98" t="s">
        <v>49</v>
      </c>
      <c r="K43" s="98"/>
      <c r="L43" s="98"/>
      <c r="M43" s="98"/>
    </row>
    <row r="44" spans="1:15" x14ac:dyDescent="0.2">
      <c r="A44" s="101" t="s">
        <v>131</v>
      </c>
      <c r="B44" s="102"/>
      <c r="C44" s="101" t="s">
        <v>134</v>
      </c>
      <c r="D44" s="102"/>
      <c r="E44" s="30" t="s">
        <v>65</v>
      </c>
      <c r="G44" t="s">
        <v>72</v>
      </c>
      <c r="H44" t="s">
        <v>73</v>
      </c>
      <c r="J44" s="99" t="s">
        <v>138</v>
      </c>
      <c r="K44" s="100"/>
      <c r="L44" s="99" t="s">
        <v>141</v>
      </c>
      <c r="M44" s="100"/>
      <c r="N44" s="30" t="s">
        <v>65</v>
      </c>
    </row>
    <row r="45" spans="1:15" x14ac:dyDescent="0.2">
      <c r="A45" s="22">
        <v>-999999</v>
      </c>
      <c r="B45" s="23">
        <v>0</v>
      </c>
      <c r="C45" s="22">
        <v>-999999</v>
      </c>
      <c r="D45" s="23">
        <v>0</v>
      </c>
      <c r="E45" s="31"/>
      <c r="J45" s="16">
        <v>-999999</v>
      </c>
      <c r="K45" s="17">
        <v>0</v>
      </c>
      <c r="L45" s="16">
        <v>-999999</v>
      </c>
      <c r="M45" s="17">
        <v>0</v>
      </c>
      <c r="N45" s="31"/>
    </row>
    <row r="46" spans="1:15" x14ac:dyDescent="0.2">
      <c r="A46" s="18">
        <f>ROUNDUP(A68/26,0)</f>
        <v>147</v>
      </c>
      <c r="B46" s="19">
        <f>(E46*(pro.forma.fed.taxable-A46))</f>
        <v>-14.700000000000001</v>
      </c>
      <c r="C46" s="18">
        <f>ROUNDUP(C68/26,0)</f>
        <v>454</v>
      </c>
      <c r="D46" s="19">
        <f>(E46*(pro.forma.fed.taxable-C46))</f>
        <v>-45.400000000000006</v>
      </c>
      <c r="E46" s="34">
        <f t="shared" ref="E46:E52" si="18">IF($C$35="S",G46,H46)</f>
        <v>0.1</v>
      </c>
      <c r="G46" s="85">
        <f t="shared" ref="G46:H46" si="19">G68</f>
        <v>0.1</v>
      </c>
      <c r="H46" s="85">
        <f t="shared" si="19"/>
        <v>0.1</v>
      </c>
      <c r="J46" s="16">
        <f>ROUNDUP(J62/26,0)</f>
        <v>116</v>
      </c>
      <c r="K46" s="19">
        <f>(N46*(Pro.forma.state.taxable-J46))</f>
        <v>-3.5960000000000001</v>
      </c>
      <c r="L46" s="16">
        <f>ROUNDUP(L62/26,0)</f>
        <v>289</v>
      </c>
      <c r="M46" s="19">
        <f>(N46*(Pro.forma.state.taxable-L46))</f>
        <v>-8.9589999999999996</v>
      </c>
      <c r="N46" s="33">
        <f>N62</f>
        <v>3.1E-2</v>
      </c>
    </row>
    <row r="47" spans="1:15" x14ac:dyDescent="0.2">
      <c r="A47" s="18">
        <f t="shared" ref="A47:A52" si="20">ROUNDUP(A69/26,0)</f>
        <v>520</v>
      </c>
      <c r="B47" s="92">
        <f t="shared" ref="B47:B52" si="21">(E47*(pro.forma.fed.taxable-A47))+B85/26</f>
        <v>-25.092307692307692</v>
      </c>
      <c r="C47" s="18">
        <f t="shared" ref="C47:C52" si="22">ROUNDUP(C69/26,0)</f>
        <v>1200</v>
      </c>
      <c r="D47" s="92">
        <f t="shared" ref="D47:D52" si="23">(E47*(pro.forma.fed.taxable-C47))+D85/26</f>
        <v>-69.384615384615387</v>
      </c>
      <c r="E47" s="34">
        <f t="shared" si="18"/>
        <v>0.12</v>
      </c>
      <c r="G47" s="85">
        <f t="shared" ref="G47:H47" si="24">G69</f>
        <v>0.12</v>
      </c>
      <c r="H47" s="85">
        <f t="shared" si="24"/>
        <v>0.12</v>
      </c>
      <c r="J47" s="16">
        <f>ROUNDUP(J63/26,0)</f>
        <v>693</v>
      </c>
      <c r="K47" s="92">
        <f>((N47*(Pro.forma.state.taxable-J47))+K85/26)</f>
        <v>-18.497884615384617</v>
      </c>
      <c r="L47" s="16">
        <f>ROUNDUP(L63/26,0)</f>
        <v>1443</v>
      </c>
      <c r="M47" s="92">
        <f>((N47*(Pro.forma.state.taxable-L47))+M85/26)</f>
        <v>-39.988269230769227</v>
      </c>
      <c r="N47" s="33">
        <f>N63</f>
        <v>5.2499999999999998E-2</v>
      </c>
    </row>
    <row r="48" spans="1:15" x14ac:dyDescent="0.2">
      <c r="A48" s="18">
        <f t="shared" si="20"/>
        <v>1665</v>
      </c>
      <c r="B48" s="92">
        <f t="shared" si="21"/>
        <v>-191.56923076923078</v>
      </c>
      <c r="C48" s="18">
        <f t="shared" si="22"/>
        <v>3491</v>
      </c>
      <c r="D48" s="92">
        <f t="shared" si="23"/>
        <v>-418.55846153846153</v>
      </c>
      <c r="E48" s="34">
        <f t="shared" si="18"/>
        <v>0.22</v>
      </c>
      <c r="G48" s="85">
        <f t="shared" ref="G48:H48" si="25">G70</f>
        <v>0.22</v>
      </c>
      <c r="H48" s="85">
        <f t="shared" si="25"/>
        <v>0.22</v>
      </c>
      <c r="J48" s="16">
        <f>ROUNDUP(J64/26,0)</f>
        <v>38462</v>
      </c>
      <c r="K48" s="19"/>
      <c r="L48" s="16">
        <f t="shared" ref="L48:L49" si="26">ROUNDUP(L64/26,0)</f>
        <v>38462</v>
      </c>
      <c r="M48" s="19"/>
      <c r="N48" s="33"/>
    </row>
    <row r="49" spans="1:14" x14ac:dyDescent="0.2">
      <c r="A49" s="18">
        <f t="shared" si="20"/>
        <v>3385</v>
      </c>
      <c r="B49" s="92">
        <f t="shared" si="21"/>
        <v>-259.22692307692307</v>
      </c>
      <c r="C49" s="18">
        <f t="shared" si="22"/>
        <v>6931</v>
      </c>
      <c r="D49" s="92">
        <f t="shared" si="23"/>
        <v>-557.09384615384602</v>
      </c>
      <c r="E49" s="34">
        <f t="shared" si="18"/>
        <v>0.24</v>
      </c>
      <c r="G49" s="85">
        <f t="shared" ref="G49:H49" si="27">G71</f>
        <v>0.24</v>
      </c>
      <c r="H49" s="85">
        <f t="shared" si="27"/>
        <v>0.24</v>
      </c>
      <c r="J49" s="90">
        <f>ROUNDUP(J65/26,0)</f>
        <v>38462</v>
      </c>
      <c r="K49" s="21"/>
      <c r="L49" s="90">
        <f t="shared" si="26"/>
        <v>38462</v>
      </c>
      <c r="M49" s="21"/>
      <c r="N49" s="32"/>
    </row>
    <row r="50" spans="1:14" x14ac:dyDescent="0.2">
      <c r="A50" s="18">
        <f t="shared" si="20"/>
        <v>6328</v>
      </c>
      <c r="B50" s="92">
        <f t="shared" si="21"/>
        <v>-765.40230769230766</v>
      </c>
      <c r="C50" s="18">
        <f t="shared" si="22"/>
        <v>12818</v>
      </c>
      <c r="D50" s="92">
        <f t="shared" si="23"/>
        <v>-1582.6446153846155</v>
      </c>
      <c r="E50" s="34">
        <f t="shared" si="18"/>
        <v>0.32</v>
      </c>
      <c r="G50" s="85">
        <f t="shared" ref="G50:H50" si="28">G72</f>
        <v>0.32</v>
      </c>
      <c r="H50" s="85">
        <f t="shared" si="28"/>
        <v>0.32</v>
      </c>
    </row>
    <row r="51" spans="1:14" x14ac:dyDescent="0.2">
      <c r="A51" s="18">
        <f t="shared" si="20"/>
        <v>7997</v>
      </c>
      <c r="B51" s="92">
        <f t="shared" si="21"/>
        <v>-1005.5461538461536</v>
      </c>
      <c r="C51" s="18">
        <f t="shared" si="22"/>
        <v>16154</v>
      </c>
      <c r="D51" s="92">
        <f t="shared" si="23"/>
        <v>-2067.0923076923073</v>
      </c>
      <c r="E51" s="34">
        <f t="shared" si="18"/>
        <v>0.35</v>
      </c>
      <c r="G51" s="85">
        <f t="shared" ref="G51:H51" si="29">G73</f>
        <v>0.35</v>
      </c>
      <c r="H51" s="85">
        <f t="shared" si="29"/>
        <v>0.35</v>
      </c>
      <c r="J51" s="98" t="s">
        <v>41</v>
      </c>
      <c r="K51" s="98"/>
      <c r="L51" s="98"/>
      <c r="M51" s="98"/>
    </row>
    <row r="52" spans="1:14" x14ac:dyDescent="0.2">
      <c r="A52" s="20">
        <f t="shared" si="20"/>
        <v>19774</v>
      </c>
      <c r="B52" s="93">
        <f t="shared" si="21"/>
        <v>-1401.0530769230772</v>
      </c>
      <c r="C52" s="20">
        <f t="shared" si="22"/>
        <v>24006</v>
      </c>
      <c r="D52" s="93">
        <f t="shared" si="23"/>
        <v>-2547.2392307692298</v>
      </c>
      <c r="E52" s="76">
        <f t="shared" si="18"/>
        <v>0.37</v>
      </c>
      <c r="G52" s="85">
        <f t="shared" ref="G52:H52" si="30">G74</f>
        <v>0.37</v>
      </c>
      <c r="H52" s="85">
        <f t="shared" si="30"/>
        <v>0.37</v>
      </c>
      <c r="J52" s="98" t="s">
        <v>139</v>
      </c>
      <c r="K52" s="98"/>
      <c r="L52" s="98" t="s">
        <v>142</v>
      </c>
      <c r="M52" s="98"/>
      <c r="N52" s="30" t="s">
        <v>65</v>
      </c>
    </row>
    <row r="53" spans="1:14" x14ac:dyDescent="0.2">
      <c r="J53" s="22">
        <v>-999999</v>
      </c>
      <c r="K53" s="23">
        <v>0</v>
      </c>
      <c r="L53" s="22">
        <v>-999999</v>
      </c>
      <c r="M53" s="23">
        <v>0</v>
      </c>
      <c r="N53" s="31"/>
    </row>
    <row r="54" spans="1:14" x14ac:dyDescent="0.2">
      <c r="A54" s="98" t="s">
        <v>41</v>
      </c>
      <c r="B54" s="98"/>
      <c r="C54" s="98"/>
      <c r="D54" s="98"/>
      <c r="J54" s="16">
        <f>ROUNDUP(J62/12,0)</f>
        <v>250</v>
      </c>
      <c r="K54" s="19">
        <f>(N54*(Pro.forma.state.taxable-J54))</f>
        <v>-7.75</v>
      </c>
      <c r="L54" s="16">
        <f>ROUNDUP(L62/12,0)</f>
        <v>625</v>
      </c>
      <c r="M54" s="19">
        <f>(N54*(Pro.forma.state.taxable-L54))</f>
        <v>-19.375</v>
      </c>
      <c r="N54" s="33">
        <f>N62</f>
        <v>3.1E-2</v>
      </c>
    </row>
    <row r="55" spans="1:14" x14ac:dyDescent="0.2">
      <c r="A55" s="99" t="s">
        <v>132</v>
      </c>
      <c r="B55" s="100"/>
      <c r="C55" s="99" t="s">
        <v>135</v>
      </c>
      <c r="D55" s="100"/>
      <c r="E55" s="30" t="s">
        <v>65</v>
      </c>
      <c r="G55" t="s">
        <v>72</v>
      </c>
      <c r="H55" t="s">
        <v>73</v>
      </c>
      <c r="J55" s="16">
        <f>ROUNDUP(J63/12,0)</f>
        <v>1500</v>
      </c>
      <c r="K55" s="92">
        <f>((N55*(Pro.forma.state.taxable-J55))+K85/12)</f>
        <v>-40</v>
      </c>
      <c r="L55" s="16">
        <f t="shared" ref="L55:L57" si="31">ROUNDUP(L63/12,0)</f>
        <v>3125</v>
      </c>
      <c r="M55" s="92">
        <f>((N55*(Pro.forma.state.taxable-L55))+M85/12)</f>
        <v>-86.5625</v>
      </c>
      <c r="N55" s="33">
        <f>N63</f>
        <v>5.2499999999999998E-2</v>
      </c>
    </row>
    <row r="56" spans="1:14" x14ac:dyDescent="0.2">
      <c r="A56" s="16">
        <v>-999999</v>
      </c>
      <c r="B56" s="17">
        <v>0</v>
      </c>
      <c r="C56" s="16">
        <v>-999999</v>
      </c>
      <c r="D56" s="17">
        <v>0</v>
      </c>
      <c r="E56" s="31"/>
      <c r="J56" s="16">
        <f>ROUNDUP(J64/12,0)</f>
        <v>83334</v>
      </c>
      <c r="K56" s="19"/>
      <c r="L56" s="16">
        <f t="shared" si="31"/>
        <v>83334</v>
      </c>
      <c r="M56" s="19"/>
      <c r="N56" s="33"/>
    </row>
    <row r="57" spans="1:14" x14ac:dyDescent="0.2">
      <c r="A57" s="18">
        <f>ROUNDUP(A68/12,0)</f>
        <v>317</v>
      </c>
      <c r="B57" s="19">
        <f>(E57*(pro.forma.fed.taxable-A57))</f>
        <v>-31.700000000000003</v>
      </c>
      <c r="C57" s="18">
        <f>ROUNDUP(C68/12,0)</f>
        <v>984</v>
      </c>
      <c r="D57" s="19">
        <f>(E57*(pro.forma.fed.taxable-C57))</f>
        <v>-98.4</v>
      </c>
      <c r="E57" s="34">
        <f t="shared" ref="E57:E63" si="32">IF($C$35="S",G57,H57)</f>
        <v>0.1</v>
      </c>
      <c r="G57" s="85">
        <f t="shared" ref="G57:H57" si="33">G68</f>
        <v>0.1</v>
      </c>
      <c r="H57" s="85">
        <f t="shared" si="33"/>
        <v>0.1</v>
      </c>
      <c r="J57" s="90">
        <f>ROUNDUP(J65/12,0)</f>
        <v>83334</v>
      </c>
      <c r="K57" s="21"/>
      <c r="L57" s="90">
        <f t="shared" si="31"/>
        <v>83334</v>
      </c>
      <c r="M57" s="21"/>
      <c r="N57" s="32"/>
    </row>
    <row r="58" spans="1:14" x14ac:dyDescent="0.2">
      <c r="A58" s="18">
        <f t="shared" ref="A58:A63" si="34">ROUNDUP(A69/12,0)</f>
        <v>1125</v>
      </c>
      <c r="B58" s="92">
        <f t="shared" ref="B58:B63" si="35">(E58*(pro.forma.fed.taxable-A58))+B85/12</f>
        <v>-54.166666666666671</v>
      </c>
      <c r="C58" s="18">
        <f t="shared" ref="C58:C63" si="36">ROUNDUP(C69/12,0)</f>
        <v>2600</v>
      </c>
      <c r="D58" s="92">
        <f t="shared" ref="D58:D63" si="37">(E58*(pro.forma.fed.taxable-C58))+D85/12</f>
        <v>-150.33333333333334</v>
      </c>
      <c r="E58" s="34">
        <f t="shared" si="32"/>
        <v>0.12</v>
      </c>
      <c r="G58" s="85">
        <f t="shared" ref="G58:H58" si="38">G69</f>
        <v>0.12</v>
      </c>
      <c r="H58" s="85">
        <f t="shared" si="38"/>
        <v>0.12</v>
      </c>
    </row>
    <row r="59" spans="1:14" x14ac:dyDescent="0.2">
      <c r="A59" s="18">
        <f t="shared" si="34"/>
        <v>3607</v>
      </c>
      <c r="B59" s="92">
        <f t="shared" si="35"/>
        <v>-414.95666666666665</v>
      </c>
      <c r="C59" s="18">
        <f t="shared" si="36"/>
        <v>7563</v>
      </c>
      <c r="D59" s="92">
        <f t="shared" si="37"/>
        <v>-906.69333333333327</v>
      </c>
      <c r="E59" s="34">
        <f t="shared" si="32"/>
        <v>0.22</v>
      </c>
      <c r="G59" s="85">
        <f t="shared" ref="G59:H59" si="39">G70</f>
        <v>0.22</v>
      </c>
      <c r="H59" s="85">
        <f t="shared" si="39"/>
        <v>0.22</v>
      </c>
      <c r="J59" s="98" t="s">
        <v>75</v>
      </c>
      <c r="K59" s="98"/>
      <c r="L59" s="98"/>
      <c r="M59" s="98"/>
    </row>
    <row r="60" spans="1:14" x14ac:dyDescent="0.2">
      <c r="A60" s="18">
        <f t="shared" si="34"/>
        <v>7334</v>
      </c>
      <c r="B60" s="92">
        <f t="shared" si="35"/>
        <v>-561.61833333333311</v>
      </c>
      <c r="C60" s="18">
        <f t="shared" si="36"/>
        <v>15017</v>
      </c>
      <c r="D60" s="92">
        <f t="shared" si="37"/>
        <v>-1206.9966666666664</v>
      </c>
      <c r="E60" s="34">
        <f t="shared" si="32"/>
        <v>0.24</v>
      </c>
      <c r="G60" s="85">
        <f t="shared" ref="G60:H60" si="40">G71</f>
        <v>0.24</v>
      </c>
      <c r="H60" s="85">
        <f t="shared" si="40"/>
        <v>0.24</v>
      </c>
      <c r="J60" s="98" t="s">
        <v>140</v>
      </c>
      <c r="K60" s="98"/>
      <c r="L60" s="98" t="s">
        <v>143</v>
      </c>
      <c r="M60" s="98"/>
      <c r="N60" s="30" t="s">
        <v>65</v>
      </c>
    </row>
    <row r="61" spans="1:14" x14ac:dyDescent="0.2">
      <c r="A61" s="18">
        <f t="shared" si="34"/>
        <v>13711</v>
      </c>
      <c r="B61" s="92">
        <f t="shared" si="35"/>
        <v>-1658.4783333333339</v>
      </c>
      <c r="C61" s="18">
        <f t="shared" si="36"/>
        <v>27771</v>
      </c>
      <c r="D61" s="92">
        <f t="shared" si="37"/>
        <v>-3428.6366666666663</v>
      </c>
      <c r="E61" s="34">
        <f t="shared" si="32"/>
        <v>0.32</v>
      </c>
      <c r="G61" s="85">
        <f t="shared" ref="G61:H61" si="41">G72</f>
        <v>0.32</v>
      </c>
      <c r="H61" s="85">
        <f t="shared" si="41"/>
        <v>0.32</v>
      </c>
      <c r="J61" s="22">
        <v>-999999</v>
      </c>
      <c r="K61" s="23">
        <v>0</v>
      </c>
      <c r="L61" s="22">
        <v>-999999</v>
      </c>
      <c r="M61" s="23">
        <v>0</v>
      </c>
      <c r="N61" s="31"/>
    </row>
    <row r="62" spans="1:14" x14ac:dyDescent="0.2">
      <c r="A62" s="18">
        <f t="shared" si="34"/>
        <v>17325</v>
      </c>
      <c r="B62" s="92">
        <f t="shared" si="35"/>
        <v>-2178.0416666666665</v>
      </c>
      <c r="C62" s="18">
        <f t="shared" si="36"/>
        <v>35000</v>
      </c>
      <c r="D62" s="92">
        <f t="shared" si="37"/>
        <v>-4478.583333333333</v>
      </c>
      <c r="E62" s="34">
        <f t="shared" si="32"/>
        <v>0.35</v>
      </c>
      <c r="G62" s="85">
        <f t="shared" ref="G62:H62" si="42">G73</f>
        <v>0.35</v>
      </c>
      <c r="H62" s="85">
        <f t="shared" si="42"/>
        <v>0.35</v>
      </c>
      <c r="J62" s="81">
        <v>3000</v>
      </c>
      <c r="K62" s="19">
        <f>(N62*(((Inc_tax_pay+SSP))-(State_allowances*State_allow)-J62))</f>
        <v>-93</v>
      </c>
      <c r="L62" s="81">
        <v>7500</v>
      </c>
      <c r="M62" s="19">
        <f>(N62*(((Inc_tax_pay+SSP))-(State_allowances*State_allow)-L62))</f>
        <v>-232.5</v>
      </c>
      <c r="N62" s="82">
        <v>3.1E-2</v>
      </c>
    </row>
    <row r="63" spans="1:14" x14ac:dyDescent="0.2">
      <c r="A63" s="20">
        <f t="shared" si="34"/>
        <v>42842</v>
      </c>
      <c r="B63" s="93">
        <f t="shared" si="35"/>
        <v>-3034.998333333333</v>
      </c>
      <c r="C63" s="20">
        <f t="shared" si="36"/>
        <v>52013</v>
      </c>
      <c r="D63" s="93">
        <f t="shared" si="37"/>
        <v>-5519.0183333333352</v>
      </c>
      <c r="E63" s="75">
        <f t="shared" si="32"/>
        <v>0.37</v>
      </c>
      <c r="G63" s="85">
        <f t="shared" ref="G63:H63" si="43">G74</f>
        <v>0.37</v>
      </c>
      <c r="H63" s="85">
        <f t="shared" si="43"/>
        <v>0.37</v>
      </c>
      <c r="J63" s="78">
        <v>18000</v>
      </c>
      <c r="K63" s="92">
        <f>((N63*(((Inc_tax_pay+SSP))-(State_allowances*State_allow)-J63))+K85)</f>
        <v>-480</v>
      </c>
      <c r="L63" s="78">
        <v>37500</v>
      </c>
      <c r="M63" s="92">
        <f>((N63*(((Inc_tax_pay+SSP))-(State_allowances*State_allow)-L63))+M85)</f>
        <v>-1038.75</v>
      </c>
      <c r="N63" s="82">
        <v>5.2499999999999998E-2</v>
      </c>
    </row>
    <row r="64" spans="1:14" x14ac:dyDescent="0.2">
      <c r="J64" s="78">
        <v>999998</v>
      </c>
      <c r="K64" s="19"/>
      <c r="L64" s="78">
        <v>999998</v>
      </c>
      <c r="M64" s="19"/>
      <c r="N64" s="33"/>
    </row>
    <row r="65" spans="1:15" x14ac:dyDescent="0.2">
      <c r="A65" s="98" t="s">
        <v>74</v>
      </c>
      <c r="B65" s="98"/>
      <c r="C65" s="98"/>
      <c r="D65" s="98"/>
      <c r="J65" s="79">
        <v>999999</v>
      </c>
      <c r="K65" s="21"/>
      <c r="L65" s="79">
        <v>999999</v>
      </c>
      <c r="M65" s="21"/>
      <c r="N65" s="32"/>
    </row>
    <row r="66" spans="1:15" x14ac:dyDescent="0.2">
      <c r="A66" s="99" t="s">
        <v>133</v>
      </c>
      <c r="B66" s="100"/>
      <c r="C66" s="99" t="s">
        <v>136</v>
      </c>
      <c r="D66" s="100"/>
      <c r="E66" s="30" t="s">
        <v>65</v>
      </c>
      <c r="G66" t="s">
        <v>72</v>
      </c>
      <c r="H66" t="s">
        <v>73</v>
      </c>
    </row>
    <row r="67" spans="1:15" x14ac:dyDescent="0.2">
      <c r="A67" s="16">
        <v>-999999</v>
      </c>
      <c r="B67" s="17">
        <v>0</v>
      </c>
      <c r="C67" s="16">
        <v>-999999</v>
      </c>
      <c r="D67" s="17">
        <v>0</v>
      </c>
      <c r="E67" s="31"/>
      <c r="J67" t="s">
        <v>46</v>
      </c>
      <c r="K67" t="str">
        <f>CONCATENATE(IF(L67="M","M","S"),M67)</f>
        <v>S0</v>
      </c>
      <c r="L67">
        <f>State_status</f>
        <v>0</v>
      </c>
      <c r="M67">
        <f>Frequency</f>
        <v>0</v>
      </c>
      <c r="N67">
        <f>IF(KS_Table="SBW",1,IF(KS_Table="MBW",2,IF(KS_Table="SMN",3,IF(KS_Table="MMN",4,IF(KS_Table="S1T",5,6)))))</f>
        <v>6</v>
      </c>
      <c r="O67" t="s">
        <v>67</v>
      </c>
    </row>
    <row r="68" spans="1:15" x14ac:dyDescent="0.2">
      <c r="A68" s="78">
        <v>3800</v>
      </c>
      <c r="B68" s="19">
        <f>(E68*((Inc_tax_pay+SSP)-(Allowances*AN_allowance)-A68))</f>
        <v>-380</v>
      </c>
      <c r="C68" s="78">
        <v>11800</v>
      </c>
      <c r="D68" s="19">
        <f>(E68*((Inc_tax_pay+SSP)-(Allowances*AN_allowance)-C68))</f>
        <v>-1180</v>
      </c>
      <c r="E68" s="34">
        <f t="shared" ref="E68:E74" si="44">IF($C$35="S",G68,H68)</f>
        <v>0.1</v>
      </c>
      <c r="G68" s="77">
        <v>0.1</v>
      </c>
      <c r="H68" s="77">
        <v>0.1</v>
      </c>
    </row>
    <row r="69" spans="1:15" x14ac:dyDescent="0.2">
      <c r="A69" s="78">
        <v>13500</v>
      </c>
      <c r="B69" s="92">
        <f t="shared" ref="B69:B74" si="45">(E69*((Inc_tax_pay+SSP)-(Allowances*AN_allowance)-A69))+B85</f>
        <v>-650</v>
      </c>
      <c r="C69" s="78">
        <v>31200</v>
      </c>
      <c r="D69" s="92">
        <f t="shared" ref="D69:D74" si="46">(E69*((Inc_tax_pay+SSP)-(Allowances*AN_allowance)-C69))+D85</f>
        <v>-1804</v>
      </c>
      <c r="E69" s="34">
        <f t="shared" si="44"/>
        <v>0.12</v>
      </c>
      <c r="G69" s="77">
        <v>0.12</v>
      </c>
      <c r="H69" s="77">
        <v>0.12</v>
      </c>
      <c r="J69" s="11" t="s">
        <v>48</v>
      </c>
    </row>
    <row r="70" spans="1:15" x14ac:dyDescent="0.2">
      <c r="A70" s="78">
        <v>43275</v>
      </c>
      <c r="B70" s="92">
        <f t="shared" si="45"/>
        <v>-4977.5</v>
      </c>
      <c r="C70" s="78">
        <v>90750</v>
      </c>
      <c r="D70" s="92">
        <f t="shared" si="46"/>
        <v>-10879</v>
      </c>
      <c r="E70" s="34">
        <f t="shared" si="44"/>
        <v>0.22</v>
      </c>
      <c r="G70" s="77">
        <v>0.22</v>
      </c>
      <c r="H70" s="77">
        <v>0.22</v>
      </c>
    </row>
    <row r="71" spans="1:15" x14ac:dyDescent="0.2">
      <c r="A71" s="78">
        <v>88000</v>
      </c>
      <c r="B71" s="92">
        <f t="shared" si="45"/>
        <v>-6737.5</v>
      </c>
      <c r="C71" s="78">
        <v>180200</v>
      </c>
      <c r="D71" s="92">
        <f t="shared" si="46"/>
        <v>-14483</v>
      </c>
      <c r="E71" s="34">
        <f t="shared" si="44"/>
        <v>0.24</v>
      </c>
      <c r="G71" s="77">
        <v>0.24</v>
      </c>
      <c r="H71" s="77">
        <v>0.24</v>
      </c>
    </row>
    <row r="72" spans="1:15" x14ac:dyDescent="0.2">
      <c r="A72" s="78">
        <v>164525</v>
      </c>
      <c r="B72" s="92">
        <f t="shared" si="45"/>
        <v>-19899.5</v>
      </c>
      <c r="C72" s="78">
        <v>333250</v>
      </c>
      <c r="D72" s="92">
        <f t="shared" si="46"/>
        <v>-41143</v>
      </c>
      <c r="E72" s="34">
        <f t="shared" si="44"/>
        <v>0.32</v>
      </c>
      <c r="G72" s="77">
        <v>0.32</v>
      </c>
      <c r="H72" s="77">
        <v>0.32</v>
      </c>
    </row>
    <row r="73" spans="1:15" x14ac:dyDescent="0.2">
      <c r="A73" s="78">
        <v>207900</v>
      </c>
      <c r="B73" s="92">
        <f t="shared" si="45"/>
        <v>-26136.5</v>
      </c>
      <c r="C73" s="78">
        <v>420000</v>
      </c>
      <c r="D73" s="92">
        <f t="shared" si="46"/>
        <v>-53743</v>
      </c>
      <c r="E73" s="34">
        <f t="shared" si="44"/>
        <v>0.35</v>
      </c>
      <c r="G73" s="77">
        <v>0.35</v>
      </c>
      <c r="H73" s="77">
        <v>0.35</v>
      </c>
    </row>
    <row r="74" spans="1:15" x14ac:dyDescent="0.2">
      <c r="A74" s="79">
        <v>514100</v>
      </c>
      <c r="B74" s="93">
        <f t="shared" si="45"/>
        <v>-36418.5</v>
      </c>
      <c r="C74" s="79">
        <v>624150</v>
      </c>
      <c r="D74" s="93">
        <f t="shared" si="46"/>
        <v>-66226</v>
      </c>
      <c r="E74" s="75">
        <f t="shared" si="44"/>
        <v>0.37</v>
      </c>
      <c r="G74" s="77">
        <v>0.37</v>
      </c>
      <c r="H74" s="77">
        <v>0.37</v>
      </c>
    </row>
    <row r="76" spans="1:15" x14ac:dyDescent="0.2">
      <c r="A76" t="s">
        <v>46</v>
      </c>
      <c r="B76" t="str">
        <f>CONCATENATE(IF(C76="M","M","S"),D76)</f>
        <v>S0</v>
      </c>
      <c r="C76">
        <f>Status</f>
        <v>0</v>
      </c>
      <c r="D76">
        <f>Frequency</f>
        <v>0</v>
      </c>
      <c r="E76">
        <f>IF(Table="SBW",1,IF(Table="MBW",2,IF(Table="SMN",3,IF(Table="MMN",4,IF(Table="S1T",5,6)))))</f>
        <v>6</v>
      </c>
      <c r="F76" s="36" t="s">
        <v>82</v>
      </c>
    </row>
    <row r="78" spans="1:15" x14ac:dyDescent="0.2">
      <c r="A78" s="11" t="s">
        <v>48</v>
      </c>
      <c r="E78" s="80" t="s">
        <v>153</v>
      </c>
      <c r="F78" s="80"/>
      <c r="G78" s="80"/>
      <c r="H78" s="80"/>
    </row>
    <row r="79" spans="1:15" x14ac:dyDescent="0.2">
      <c r="A79" s="61"/>
      <c r="J79" s="61"/>
    </row>
    <row r="80" spans="1:15" x14ac:dyDescent="0.2">
      <c r="A80" s="61" t="s">
        <v>159</v>
      </c>
      <c r="J80" s="61" t="s">
        <v>160</v>
      </c>
    </row>
    <row r="83" spans="1:14" x14ac:dyDescent="0.2">
      <c r="A83" s="94"/>
      <c r="B83" s="94" t="s">
        <v>162</v>
      </c>
      <c r="C83" s="94"/>
      <c r="D83" s="94" t="s">
        <v>161</v>
      </c>
      <c r="E83" s="94"/>
      <c r="F83" s="94"/>
      <c r="G83" s="94"/>
      <c r="H83" s="94"/>
      <c r="I83" s="94"/>
      <c r="J83" s="94"/>
      <c r="K83" s="94" t="s">
        <v>162</v>
      </c>
      <c r="L83" s="94"/>
      <c r="M83" s="94" t="s">
        <v>161</v>
      </c>
      <c r="N83" s="94"/>
    </row>
    <row r="84" spans="1:14" x14ac:dyDescent="0.2">
      <c r="A84" s="77">
        <v>0.1</v>
      </c>
      <c r="J84" s="82">
        <v>3.1E-2</v>
      </c>
    </row>
    <row r="85" spans="1:14" x14ac:dyDescent="0.2">
      <c r="A85" s="77">
        <v>0.12</v>
      </c>
      <c r="B85" s="91">
        <v>970</v>
      </c>
      <c r="D85" s="91">
        <v>1940</v>
      </c>
      <c r="J85" s="82">
        <v>5.2499999999999998E-2</v>
      </c>
      <c r="K85" s="91">
        <v>465</v>
      </c>
      <c r="M85" s="91">
        <v>930</v>
      </c>
    </row>
    <row r="86" spans="1:14" x14ac:dyDescent="0.2">
      <c r="A86" s="77">
        <v>0.22</v>
      </c>
      <c r="B86" s="91">
        <v>4543</v>
      </c>
      <c r="D86" s="91">
        <v>9086</v>
      </c>
    </row>
    <row r="87" spans="1:14" x14ac:dyDescent="0.2">
      <c r="A87" s="77">
        <v>0.24</v>
      </c>
      <c r="B87" s="91">
        <v>14382.5</v>
      </c>
      <c r="D87" s="91">
        <v>28765</v>
      </c>
    </row>
    <row r="88" spans="1:14" x14ac:dyDescent="0.2">
      <c r="A88" s="77">
        <v>0.32</v>
      </c>
      <c r="B88" s="91">
        <v>32748.5</v>
      </c>
      <c r="D88" s="91">
        <v>65497</v>
      </c>
    </row>
    <row r="89" spans="1:14" x14ac:dyDescent="0.2">
      <c r="A89" s="77">
        <v>0.35</v>
      </c>
      <c r="B89" s="91">
        <v>46628.5</v>
      </c>
      <c r="D89" s="91">
        <v>93257</v>
      </c>
    </row>
    <row r="90" spans="1:14" x14ac:dyDescent="0.2">
      <c r="A90" s="77">
        <v>0.37</v>
      </c>
      <c r="B90" s="91">
        <v>153798.5</v>
      </c>
      <c r="D90" s="91">
        <v>164709.5</v>
      </c>
    </row>
  </sheetData>
  <mergeCells count="36">
    <mergeCell ref="C14:D14"/>
    <mergeCell ref="A13:D13"/>
    <mergeCell ref="A14:B14"/>
    <mergeCell ref="A55:B55"/>
    <mergeCell ref="C55:D55"/>
    <mergeCell ref="A24:D24"/>
    <mergeCell ref="A25:B25"/>
    <mergeCell ref="C25:D25"/>
    <mergeCell ref="J2:M2"/>
    <mergeCell ref="A3:B3"/>
    <mergeCell ref="C3:D3"/>
    <mergeCell ref="A2:D2"/>
    <mergeCell ref="J3:K3"/>
    <mergeCell ref="L3:M3"/>
    <mergeCell ref="J10:M10"/>
    <mergeCell ref="J11:K11"/>
    <mergeCell ref="L11:M11"/>
    <mergeCell ref="J18:M18"/>
    <mergeCell ref="J19:K19"/>
    <mergeCell ref="L19:M19"/>
    <mergeCell ref="A65:D65"/>
    <mergeCell ref="A66:B66"/>
    <mergeCell ref="C66:D66"/>
    <mergeCell ref="J43:M43"/>
    <mergeCell ref="J44:K44"/>
    <mergeCell ref="L44:M44"/>
    <mergeCell ref="J51:M51"/>
    <mergeCell ref="J52:K52"/>
    <mergeCell ref="L52:M52"/>
    <mergeCell ref="J59:M59"/>
    <mergeCell ref="J60:K60"/>
    <mergeCell ref="L60:M60"/>
    <mergeCell ref="A43:D43"/>
    <mergeCell ref="A44:B44"/>
    <mergeCell ref="C44:D44"/>
    <mergeCell ref="A54:D54"/>
  </mergeCells>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57</vt:i4>
      </vt:variant>
    </vt:vector>
  </HeadingPairs>
  <TitlesOfParts>
    <vt:vector size="60" baseType="lpstr">
      <vt:lpstr>Planner</vt:lpstr>
      <vt:lpstr>Calculations</vt:lpstr>
      <vt:lpstr>Lookups</vt:lpstr>
      <vt:lpstr>Addl_Fed</vt:lpstr>
      <vt:lpstr>Addl_state</vt:lpstr>
      <vt:lpstr>Allowances</vt:lpstr>
      <vt:lpstr>AN_allowance</vt:lpstr>
      <vt:lpstr>BW_allow</vt:lpstr>
      <vt:lpstr>BW_allowance</vt:lpstr>
      <vt:lpstr>Fed_allow</vt:lpstr>
      <vt:lpstr>Fed_index</vt:lpstr>
      <vt:lpstr>Fed_taxable</vt:lpstr>
      <vt:lpstr>FICA_pay</vt:lpstr>
      <vt:lpstr>FICA_rate</vt:lpstr>
      <vt:lpstr>FIT_PPO</vt:lpstr>
      <vt:lpstr>Frequency</vt:lpstr>
      <vt:lpstr>Gross_pay</vt:lpstr>
      <vt:lpstr>Inc_tax_pay</vt:lpstr>
      <vt:lpstr>KM1T</vt:lpstr>
      <vt:lpstr>KMBW</vt:lpstr>
      <vt:lpstr>KMMN</vt:lpstr>
      <vt:lpstr>KS_index</vt:lpstr>
      <vt:lpstr>KS_PPO</vt:lpstr>
      <vt:lpstr>KS_Table</vt:lpstr>
      <vt:lpstr>KS1T</vt:lpstr>
      <vt:lpstr>KSBW</vt:lpstr>
      <vt:lpstr>KSMN</vt:lpstr>
      <vt:lpstr>M1T</vt:lpstr>
      <vt:lpstr>MBW</vt:lpstr>
      <vt:lpstr>MMN</vt:lpstr>
      <vt:lpstr>MN_allowance</vt:lpstr>
      <vt:lpstr>PKM1T</vt:lpstr>
      <vt:lpstr>PKMBW</vt:lpstr>
      <vt:lpstr>PKMMN</vt:lpstr>
      <vt:lpstr>PKS1T</vt:lpstr>
      <vt:lpstr>PKSBW</vt:lpstr>
      <vt:lpstr>PKSMN</vt:lpstr>
      <vt:lpstr>PM1T</vt:lpstr>
      <vt:lpstr>PMBW</vt:lpstr>
      <vt:lpstr>PMMN</vt:lpstr>
      <vt:lpstr>PPO</vt:lpstr>
      <vt:lpstr>pro.forma.fed.taxable</vt:lpstr>
      <vt:lpstr>Pro.forma.state.taxable</vt:lpstr>
      <vt:lpstr>PS1T</vt:lpstr>
      <vt:lpstr>PSBW</vt:lpstr>
      <vt:lpstr>PSMN</vt:lpstr>
      <vt:lpstr>Req_403b</vt:lpstr>
      <vt:lpstr>S1T</vt:lpstr>
      <vt:lpstr>SBW</vt:lpstr>
      <vt:lpstr>SIT_PPO</vt:lpstr>
      <vt:lpstr>SMN</vt:lpstr>
      <vt:lpstr>SSP</vt:lpstr>
      <vt:lpstr>State_allow</vt:lpstr>
      <vt:lpstr>State_allowances</vt:lpstr>
      <vt:lpstr>State_status</vt:lpstr>
      <vt:lpstr>State_taxable</vt:lpstr>
      <vt:lpstr>Status</vt:lpstr>
      <vt:lpstr>SUP</vt:lpstr>
      <vt:lpstr>Table</vt:lpstr>
      <vt:lpstr>YTD_PPO</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Leach</dc:creator>
  <dc:description>2/24/09:  Updated for new rates from ARRA</dc:description>
  <cp:lastModifiedBy>Marsha Stromgren</cp:lastModifiedBy>
  <cp:lastPrinted>2019-04-19T14:53:51Z</cp:lastPrinted>
  <dcterms:created xsi:type="dcterms:W3CDTF">2006-02-08T22:45:18Z</dcterms:created>
  <dcterms:modified xsi:type="dcterms:W3CDTF">2019-04-19T14:53:53Z</dcterms:modified>
</cp:coreProperties>
</file>